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95" windowWidth="23205" windowHeight="11100" activeTab="0"/>
  </bookViews>
  <sheets>
    <sheet name="2.1makronäitajad" sheetId="1" r:id="rId1"/>
    <sheet name="2.2  detailne strateegia" sheetId="2" r:id="rId2"/>
    <sheet name="2.3 investeeringud" sheetId="3" r:id="rId3"/>
    <sheet name="2.4 laenukohustused" sheetId="4" r:id="rId4"/>
  </sheets>
  <externalReferences>
    <externalReference r:id="rId7"/>
    <externalReference r:id="rId8"/>
  </externalReferences>
  <definedNames>
    <definedName name="cofog" localSheetId="3">'[1]Tiitelleht'!#REF!</definedName>
    <definedName name="cofog">'[1]Tiitelleht'!#REF!</definedName>
  </definedNames>
  <calcPr fullCalcOnLoad="1"/>
</workbook>
</file>

<file path=xl/comments2.xml><?xml version="1.0" encoding="utf-8"?>
<comments xmlns="http://schemas.openxmlformats.org/spreadsheetml/2006/main">
  <authors>
    <author>Indrek_K</author>
  </authors>
  <commentList>
    <comment ref="C22" authorId="0">
      <text>
        <r>
          <rPr>
            <b/>
            <sz val="8"/>
            <rFont val="Tahoma"/>
            <family val="2"/>
          </rPr>
          <t>Indrek_K:</t>
        </r>
        <r>
          <rPr>
            <sz val="8"/>
            <rFont val="Tahoma"/>
            <family val="2"/>
          </rPr>
          <t xml:space="preserve">
403,2€ muust tegevusest</t>
        </r>
      </text>
    </comment>
    <comment ref="C52" authorId="0">
      <text>
        <r>
          <rPr>
            <b/>
            <sz val="8"/>
            <rFont val="Tahoma"/>
            <family val="2"/>
          </rPr>
          <t>Indrek_K:</t>
        </r>
        <r>
          <rPr>
            <sz val="8"/>
            <rFont val="Tahoma"/>
            <family val="2"/>
          </rPr>
          <t xml:space="preserve">
hoiuste vähendamine</t>
        </r>
      </text>
    </comment>
  </commentList>
</comments>
</file>

<file path=xl/sharedStrings.xml><?xml version="1.0" encoding="utf-8"?>
<sst xmlns="http://schemas.openxmlformats.org/spreadsheetml/2006/main" count="262" uniqueCount="163">
  <si>
    <t>Põhitegevuse tulud kokku</t>
  </si>
  <si>
    <t>Põhitegevuse kulud kokku</t>
  </si>
  <si>
    <t>Investeerimistegevus kokku</t>
  </si>
  <si>
    <t>Eelarve tulem</t>
  </si>
  <si>
    <t>Finantseerimistegevus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</si>
  <si>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</si>
  <si>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</si>
  <si>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</si>
  <si>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</si>
  <si>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</si>
  <si>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 xml:space="preserve">          sh majandamiskulud</t>
  </si>
  <si>
    <t xml:space="preserve">          sh muud kulud</t>
  </si>
  <si>
    <t>Võlakohustused kokku aasta lõpu seisuga</t>
  </si>
  <si>
    <t xml:space="preserve">     Muud tegevuskulud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</si>
  <si>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</si>
  <si>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</si>
  <si>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</si>
  <si>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</si>
  <si>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</si>
  <si>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</si>
  <si>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>Likviidsete varade muutus (+ suurenemine, - vähenemine)</t>
  </si>
  <si>
    <t>Nõuete ja kohustuste saldode muutus (tekkepõhise e/a korral) (+/-)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</si>
  <si>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</si>
  <si>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</si>
  <si>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</si>
  <si>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</si>
  <si>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Finantstulud (+)</t>
  </si>
  <si>
    <t xml:space="preserve">   Finantskulud (-)</t>
  </si>
  <si>
    <t>sh toetuse arvelt</t>
  </si>
  <si>
    <t>sh muude vahendite arvelt (omaosalus)</t>
  </si>
  <si>
    <t>2010 täitmine</t>
  </si>
  <si>
    <t xml:space="preserve"> Maksutulud</t>
  </si>
  <si>
    <t xml:space="preserve">          tulumaks</t>
  </si>
  <si>
    <t xml:space="preserve">          maamaks</t>
  </si>
  <si>
    <t xml:space="preserve">          tulud kohalikest maksudest</t>
  </si>
  <si>
    <t>reklaamimaks</t>
  </si>
  <si>
    <t>teede ja tänavate sulgemise maks</t>
  </si>
  <si>
    <t>parkimistasu</t>
  </si>
  <si>
    <t xml:space="preserve"> Tulud kaupade ja teenuste müügist</t>
  </si>
  <si>
    <t xml:space="preserve">         Riigilõiv</t>
  </si>
  <si>
    <t xml:space="preserve">         Tulud majandustegevusest</t>
  </si>
  <si>
    <t>tulud haridusalasest tegevusest</t>
  </si>
  <si>
    <t>tulud kultuuri- ja kunstialasest maj. teg</t>
  </si>
  <si>
    <t>tulud spordi- ja puhkealasest maj. teg</t>
  </si>
  <si>
    <t>tulud sotsiaalabialasest maj. teg</t>
  </si>
  <si>
    <t>tulud keskkonnaalasest teg.</t>
  </si>
  <si>
    <t>tulud transpordialasest teg.</t>
  </si>
  <si>
    <t>tulud üldvalitsemisest</t>
  </si>
  <si>
    <t xml:space="preserve">         Üür ja rent</t>
  </si>
  <si>
    <t xml:space="preserve">        Õiguste müük</t>
  </si>
  <si>
    <t xml:space="preserve">        Muu toodete ja teenuste müük</t>
  </si>
  <si>
    <t xml:space="preserve"> Saadavad toetused jooksvateks kuludeks</t>
  </si>
  <si>
    <t xml:space="preserve">         tasandusfond ( lg 1)</t>
  </si>
  <si>
    <t xml:space="preserve">         toetusfond ( lg 2)</t>
  </si>
  <si>
    <t xml:space="preserve">         muud mittesihtotstarbelised toetused</t>
  </si>
  <si>
    <t xml:space="preserve">         saadud sihtotstarbelised toetused jooksvateks kuludeks</t>
  </si>
  <si>
    <t xml:space="preserve">  Muud tegevustulud</t>
  </si>
  <si>
    <t xml:space="preserve">        Tasu vee erikasutusest</t>
  </si>
  <si>
    <t xml:space="preserve">        Trahvid</t>
  </si>
  <si>
    <t xml:space="preserve">        Saastetasud</t>
  </si>
  <si>
    <t xml:space="preserve">        Muud</t>
  </si>
  <si>
    <t xml:space="preserve">     Antavad toetused jooksvateks kuludeks</t>
  </si>
  <si>
    <t>Investeerimistegevuse tulud</t>
  </si>
  <si>
    <t xml:space="preserve">         Maa müük</t>
  </si>
  <si>
    <t xml:space="preserve">         Materiaalsete varade müük</t>
  </si>
  <si>
    <t xml:space="preserve">         Intressi- ja viivisetulud</t>
  </si>
  <si>
    <t xml:space="preserve">         Dividendid</t>
  </si>
  <si>
    <t>Investeeringud</t>
  </si>
  <si>
    <t xml:space="preserve">   Kohustuste võtmine (+) [v.a sildfinantseerimise laen]</t>
  </si>
  <si>
    <t xml:space="preserve">         Laenude refinantseerimine</t>
  </si>
  <si>
    <t xml:space="preserve">         Uus laen</t>
  </si>
  <si>
    <t xml:space="preserve">   Kohustuste tasumine (-)  [v.a sildfinantseerimise laen]</t>
  </si>
  <si>
    <t>sildfinantseerimine</t>
  </si>
  <si>
    <t>sildfinantseerimislaen</t>
  </si>
  <si>
    <t>Netovõlakoormus KOFSi järgi (eurodes)</t>
  </si>
  <si>
    <t>Puhastulu VLESi järgi</t>
  </si>
  <si>
    <t>Võlakoormus (%) VLESi järgi</t>
  </si>
  <si>
    <t>Vaba võlakoormus VLESi järgi (eurodes)</t>
  </si>
  <si>
    <t>2011 täitmine</t>
  </si>
  <si>
    <t>2012 eelarve</t>
  </si>
  <si>
    <t>THI</t>
  </si>
  <si>
    <t>Eelarve 2012</t>
  </si>
  <si>
    <t>Täitmine  2011</t>
  </si>
  <si>
    <t>Tartu LV</t>
  </si>
  <si>
    <t>Makromajanduslikud näitajad*</t>
  </si>
  <si>
    <t>SKP reaalkasv</t>
  </si>
  <si>
    <t>SKP nominaalkasv</t>
  </si>
  <si>
    <t>Tarbijahinnaindeks</t>
  </si>
  <si>
    <t>Hõive (tuh inimest)</t>
  </si>
  <si>
    <t>Tööhõive kasv</t>
  </si>
  <si>
    <t>Keskmine kuupalk (EUR)</t>
  </si>
  <si>
    <t>Palga nominaalkasv</t>
  </si>
  <si>
    <t>Palga reaalkasv</t>
  </si>
  <si>
    <t>Maksumaksjate arv*</t>
  </si>
  <si>
    <t>Maksumaksjate arvu muutus</t>
  </si>
  <si>
    <t>Väljamaksed füüsilistele isikutele*</t>
  </si>
  <si>
    <t>Sissetulek inimese kohta kuus</t>
  </si>
  <si>
    <t>Sissetuleku kasv</t>
  </si>
  <si>
    <t>Tulumaksu laekumine*</t>
  </si>
  <si>
    <t>Tulumaksu laekumise kasv</t>
  </si>
  <si>
    <t>Tulumaksu laekumise ja sissetulekute suhe</t>
  </si>
  <si>
    <t>Tulumaks</t>
  </si>
  <si>
    <t>SKP jooksevhindades (mld EUR)</t>
  </si>
  <si>
    <t>Tamme staadioni tribüünihoone</t>
  </si>
  <si>
    <t>Keskkonnahariduse Keskus (Lille 10) projekteerimine</t>
  </si>
  <si>
    <t>Kutsehariduskeskuse (Põllu 11) autoerialade õppetöökoja rajamine</t>
  </si>
  <si>
    <t>Varjupaiga (Lubja 7) renoveerimine</t>
  </si>
  <si>
    <t>Tartu ühistranspordi juhtimis- ja kontrollsüsteemi arendamine</t>
  </si>
  <si>
    <t>Tartu lasteaedade laiendamine (eelnevalt: Tartu lasteaia Rukkilill laiendamine)</t>
  </si>
  <si>
    <t>Anne Noortekeskuse rajamine</t>
  </si>
  <si>
    <t>Anne Infokeskuse "Tartu Noored" rajamine</t>
  </si>
  <si>
    <t>Uue Tartu Loodusmaja rajamine</t>
  </si>
  <si>
    <t>EST-LAT-RUS TRAFFIC</t>
  </si>
  <si>
    <t>Sõpruse paadisadama väljaarendamine</t>
  </si>
  <si>
    <t>Emajõe kaldakindlustuste rekonstrueerimine ja jõeäärsete teede korrastamine</t>
  </si>
  <si>
    <t>Loomemajanduse keskus Kalevi  15,17</t>
  </si>
  <si>
    <t>Finantseerimistehingud</t>
  </si>
  <si>
    <t>Tartu idapoolne ringtee</t>
  </si>
  <si>
    <t>Laenukohustused</t>
  </si>
  <si>
    <t>Võetava kohustuse
sihtotstarve</t>
  </si>
  <si>
    <t>Võetava
kohustuse maht</t>
  </si>
  <si>
    <t>Intressimäär</t>
  </si>
  <si>
    <t>Põhisumma</t>
  </si>
  <si>
    <t>Intress</t>
  </si>
  <si>
    <t>Kohustuse jääk</t>
  </si>
  <si>
    <t>Kohustuste teenindamine</t>
  </si>
  <si>
    <t>sh põhisumma</t>
  </si>
  <si>
    <t xml:space="preserve">  intress</t>
  </si>
  <si>
    <t>Kohustuste jääk kokku</t>
  </si>
  <si>
    <t>* Laenude jääkide ridadel olevad valemid eeldavad, et laen võetakse kasutusele ühe kalendriaasta jooksul. Kui laenu välja võtmine toimub mitme aasta jooksul, tuleb valemeid korrigeerida</t>
  </si>
  <si>
    <t>Laste Turvakodu</t>
  </si>
  <si>
    <t>Tulumaksu laekumise kasv RESis</t>
  </si>
  <si>
    <t>Põhitegevuse tulud</t>
  </si>
  <si>
    <t>RKAS</t>
  </si>
  <si>
    <t>Liising LVO sõiduauto</t>
  </si>
  <si>
    <t>Liising KO väikebuss</t>
  </si>
  <si>
    <t>Netovõlakoormus</t>
  </si>
  <si>
    <t>Riskistsenaarium</t>
  </si>
  <si>
    <t>Eelpool nimetamata muud projektid kokku*</t>
  </si>
  <si>
    <t>Investeeringuprojektid</t>
  </si>
  <si>
    <t>Svensk Exportkredit AB</t>
  </si>
  <si>
    <t>Nordea Pank</t>
  </si>
  <si>
    <t>Swedbank</t>
  </si>
  <si>
    <t>Depfa Bank</t>
  </si>
  <si>
    <t>uus võlakirjaemissioon</t>
  </si>
  <si>
    <t>Aasta</t>
  </si>
  <si>
    <t>*</t>
  </si>
  <si>
    <t>Teed, tänavad, sillad (regulaarne hooldus)</t>
  </si>
  <si>
    <t>linna hoonete remont jms (regulaarne)</t>
  </si>
  <si>
    <t>Uued investeeringud</t>
  </si>
  <si>
    <t>tänavavalgustus</t>
  </si>
  <si>
    <t>linna elamute/korterite remont</t>
  </si>
  <si>
    <t>haridus</t>
  </si>
  <si>
    <r>
      <t xml:space="preserve">Regulaarsed, iga-aastased hooldused jms </t>
    </r>
    <r>
      <rPr>
        <sz val="8"/>
        <rFont val="Arial"/>
        <family val="2"/>
      </rPr>
      <t>(hinnangulised arvud)</t>
    </r>
  </si>
  <si>
    <t>uued välisprojektid sõltuvalt rahastusotsusest</t>
  </si>
  <si>
    <t>Tartu eelarve strateegia 2013-2017</t>
  </si>
  <si>
    <t>Nooruse 9 ostmine</t>
  </si>
  <si>
    <t>muud arengukavas prioriteetsed uued investeeringud</t>
  </si>
  <si>
    <t>2012 + I lisa ea</t>
  </si>
  <si>
    <t>2.1. makronäitajad</t>
  </si>
  <si>
    <t>2.2. detailne strateegia</t>
  </si>
  <si>
    <t>2.3. investeeringud</t>
  </si>
  <si>
    <t>2.4. laenukohustused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</si>
</sst>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\ #,##0&quot;     &quot;;\-#,##0&quot;     &quot;;&quot; -&quot;#&quot;     &quot;;@\ "/>
    <numFmt numFmtId="168" formatCode="\ #,##0.00&quot;     &quot;;\-#,##0.00&quot;     &quot;;&quot; -&quot;#&quot;     &quot;;@\ "/>
    <numFmt numFmtId="169" formatCode="d/m/yy"/>
    <numFmt numFmtId="170" formatCode="0.000"/>
    <numFmt numFmtId="171" formatCode="#,##0.00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58" applyFont="1">
      <alignment/>
      <protection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3" fontId="0" fillId="0" borderId="10" xfId="58" applyNumberFormat="1" applyFont="1" applyFill="1" applyBorder="1" applyAlignment="1">
      <alignment wrapText="1"/>
      <protection/>
    </xf>
    <xf numFmtId="3" fontId="2" fillId="0" borderId="10" xfId="58" applyNumberFormat="1" applyFont="1" applyFill="1" applyBorder="1">
      <alignment/>
      <protection/>
    </xf>
    <xf numFmtId="166" fontId="0" fillId="0" borderId="0" xfId="58" applyNumberFormat="1">
      <alignment/>
      <protection/>
    </xf>
    <xf numFmtId="10" fontId="0" fillId="0" borderId="0" xfId="58" applyNumberFormat="1">
      <alignment/>
      <protection/>
    </xf>
    <xf numFmtId="3" fontId="2" fillId="0" borderId="10" xfId="58" applyNumberFormat="1" applyFont="1" applyFill="1" applyBorder="1" applyAlignment="1">
      <alignment wrapText="1"/>
      <protection/>
    </xf>
    <xf numFmtId="165" fontId="0" fillId="0" borderId="0" xfId="58" applyNumberFormat="1">
      <alignment/>
      <protection/>
    </xf>
    <xf numFmtId="3" fontId="60" fillId="33" borderId="10" xfId="58" applyNumberFormat="1" applyFont="1" applyFill="1" applyBorder="1" applyAlignment="1">
      <alignment wrapText="1"/>
      <protection/>
    </xf>
    <xf numFmtId="0" fontId="0" fillId="0" borderId="0" xfId="58" applyFont="1">
      <alignment/>
      <protection/>
    </xf>
    <xf numFmtId="3" fontId="60" fillId="34" borderId="10" xfId="58" applyNumberFormat="1" applyFont="1" applyFill="1" applyBorder="1" applyAlignment="1">
      <alignment wrapText="1"/>
      <protection/>
    </xf>
    <xf numFmtId="3" fontId="2" fillId="0" borderId="10" xfId="58" applyNumberFormat="1" applyFont="1" applyBorder="1">
      <alignment/>
      <protection/>
    </xf>
    <xf numFmtId="0" fontId="0" fillId="0" borderId="0" xfId="58" applyFill="1">
      <alignment/>
      <protection/>
    </xf>
    <xf numFmtId="3" fontId="0" fillId="0" borderId="0" xfId="58" applyNumberFormat="1" applyBorder="1">
      <alignment/>
      <protection/>
    </xf>
    <xf numFmtId="0" fontId="0" fillId="0" borderId="0" xfId="58" applyFont="1" applyFill="1" applyBorder="1" applyAlignment="1">
      <alignment wrapText="1"/>
      <protection/>
    </xf>
    <xf numFmtId="3" fontId="0" fillId="0" borderId="0" xfId="58" applyNumberFormat="1" applyFont="1" applyFill="1" applyBorder="1" applyAlignment="1">
      <alignment wrapText="1"/>
      <protection/>
    </xf>
    <xf numFmtId="0" fontId="2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left" vertical="center"/>
      <protection/>
    </xf>
    <xf numFmtId="3" fontId="0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wrapText="1"/>
      <protection/>
    </xf>
    <xf numFmtId="167" fontId="11" fillId="0" borderId="0" xfId="44" applyNumberFormat="1" applyFont="1" applyFill="1" applyBorder="1" applyAlignment="1" applyProtection="1">
      <alignment/>
      <protection/>
    </xf>
    <xf numFmtId="0" fontId="4" fillId="0" borderId="0" xfId="58" applyFont="1" applyFill="1" applyBorder="1" applyAlignment="1">
      <alignment horizontal="right" wrapText="1"/>
      <protection/>
    </xf>
    <xf numFmtId="170" fontId="0" fillId="0" borderId="0" xfId="58" applyNumberFormat="1" applyFont="1" applyFill="1" applyBorder="1" applyAlignment="1">
      <alignment wrapText="1"/>
      <protection/>
    </xf>
    <xf numFmtId="170" fontId="0" fillId="0" borderId="0" xfId="58" applyNumberFormat="1" applyFill="1">
      <alignment/>
      <protection/>
    </xf>
    <xf numFmtId="3" fontId="20" fillId="35" borderId="11" xfId="0" applyNumberFormat="1" applyFont="1" applyFill="1" applyBorder="1" applyAlignment="1">
      <alignment/>
    </xf>
    <xf numFmtId="1" fontId="2" fillId="35" borderId="1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4" fontId="25" fillId="36" borderId="0" xfId="62" applyNumberFormat="1" applyFont="1" applyFill="1" applyBorder="1">
      <alignment/>
      <protection/>
    </xf>
    <xf numFmtId="164" fontId="25" fillId="36" borderId="0" xfId="0" applyNumberFormat="1" applyFont="1" applyFill="1" applyBorder="1" applyAlignment="1" applyProtection="1">
      <alignment horizontal="right"/>
      <protection locked="0"/>
    </xf>
    <xf numFmtId="165" fontId="25" fillId="36" borderId="0" xfId="0" applyNumberFormat="1" applyFont="1" applyFill="1" applyBorder="1" applyAlignment="1" applyProtection="1">
      <alignment horizontal="right"/>
      <protection locked="0"/>
    </xf>
    <xf numFmtId="165" fontId="25" fillId="36" borderId="0" xfId="66" applyNumberFormat="1" applyFont="1" applyFill="1" applyBorder="1" applyAlignment="1" applyProtection="1">
      <alignment/>
      <protection/>
    </xf>
    <xf numFmtId="165" fontId="25" fillId="36" borderId="0" xfId="0" applyNumberFormat="1" applyFont="1" applyFill="1" applyBorder="1" applyAlignment="1">
      <alignment/>
    </xf>
    <xf numFmtId="165" fontId="25" fillId="37" borderId="0" xfId="0" applyNumberFormat="1" applyFont="1" applyFill="1" applyBorder="1" applyAlignment="1">
      <alignment/>
    </xf>
    <xf numFmtId="164" fontId="25" fillId="36" borderId="0" xfId="0" applyNumberFormat="1" applyFont="1" applyFill="1" applyBorder="1" applyAlignment="1">
      <alignment/>
    </xf>
    <xf numFmtId="165" fontId="25" fillId="37" borderId="0" xfId="66" applyNumberFormat="1" applyFont="1" applyFill="1" applyBorder="1" applyAlignment="1" applyProtection="1">
      <alignment/>
      <protection/>
    </xf>
    <xf numFmtId="164" fontId="25" fillId="36" borderId="0" xfId="0" applyNumberFormat="1" applyFont="1" applyFill="1" applyBorder="1" applyAlignment="1">
      <alignment horizontal="right"/>
    </xf>
    <xf numFmtId="1" fontId="2" fillId="38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65" fontId="0" fillId="37" borderId="0" xfId="0" applyNumberFormat="1" applyFont="1" applyFill="1" applyAlignment="1">
      <alignment/>
    </xf>
    <xf numFmtId="165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0" fontId="0" fillId="38" borderId="11" xfId="0" applyFont="1" applyFill="1" applyBorder="1" applyAlignment="1">
      <alignment horizontal="center"/>
    </xf>
    <xf numFmtId="3" fontId="0" fillId="39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61" fillId="37" borderId="0" xfId="0" applyNumberFormat="1" applyFont="1" applyFill="1" applyAlignment="1">
      <alignment/>
    </xf>
    <xf numFmtId="0" fontId="0" fillId="0" borderId="0" xfId="58" applyBorder="1">
      <alignment/>
      <protection/>
    </xf>
    <xf numFmtId="0" fontId="2" fillId="0" borderId="0" xfId="58" applyFont="1" applyBorder="1">
      <alignment/>
      <protection/>
    </xf>
    <xf numFmtId="0" fontId="0" fillId="0" borderId="0" xfId="58" applyFill="1" applyBorder="1">
      <alignment/>
      <protection/>
    </xf>
    <xf numFmtId="0" fontId="3" fillId="0" borderId="0" xfId="58" applyFont="1" applyFill="1" applyBorder="1" applyAlignment="1">
      <alignment vertical="top" wrapText="1"/>
      <protection/>
    </xf>
    <xf numFmtId="0" fontId="2" fillId="41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/>
      <protection/>
    </xf>
    <xf numFmtId="0" fontId="18" fillId="0" borderId="13" xfId="58" applyFont="1" applyFill="1" applyBorder="1" applyAlignment="1">
      <alignment horizontal="center" vertical="center"/>
      <protection/>
    </xf>
    <xf numFmtId="0" fontId="11" fillId="0" borderId="13" xfId="58" applyFont="1" applyFill="1" applyBorder="1">
      <alignment/>
      <protection/>
    </xf>
    <xf numFmtId="0" fontId="19" fillId="0" borderId="13" xfId="58" applyFont="1" applyFill="1" applyBorder="1" applyAlignment="1">
      <alignment horizontal="center"/>
      <protection/>
    </xf>
    <xf numFmtId="0" fontId="11" fillId="0" borderId="13" xfId="58" applyFont="1" applyFill="1" applyBorder="1" applyAlignment="1">
      <alignment horizontal="left"/>
      <protection/>
    </xf>
    <xf numFmtId="0" fontId="3" fillId="0" borderId="13" xfId="58" applyFont="1" applyFill="1" applyBorder="1" applyAlignment="1">
      <alignment horizontal="left" vertical="center"/>
      <protection/>
    </xf>
    <xf numFmtId="0" fontId="3" fillId="0" borderId="13" xfId="58" applyFont="1" applyFill="1" applyBorder="1" applyAlignment="1">
      <alignment horizontal="left" wrapText="1"/>
      <protection/>
    </xf>
    <xf numFmtId="0" fontId="5" fillId="0" borderId="13" xfId="58" applyFont="1" applyFill="1" applyBorder="1" applyAlignment="1">
      <alignment horizontal="left" wrapText="1"/>
      <protection/>
    </xf>
    <xf numFmtId="0" fontId="3" fillId="0" borderId="13" xfId="63" applyFont="1" applyFill="1" applyBorder="1">
      <alignment/>
      <protection/>
    </xf>
    <xf numFmtId="0" fontId="3" fillId="0" borderId="13" xfId="58" applyFont="1" applyFill="1" applyBorder="1">
      <alignment/>
      <protection/>
    </xf>
    <xf numFmtId="3" fontId="17" fillId="0" borderId="14" xfId="63" applyNumberFormat="1" applyFont="1" applyFill="1" applyBorder="1" applyProtection="1">
      <alignment/>
      <protection locked="0"/>
    </xf>
    <xf numFmtId="3" fontId="17" fillId="0" borderId="14" xfId="58" applyNumberFormat="1" applyFont="1" applyFill="1" applyBorder="1" applyAlignment="1">
      <alignment wrapText="1"/>
      <protection/>
    </xf>
    <xf numFmtId="3" fontId="0" fillId="0" borderId="14" xfId="58" applyNumberFormat="1" applyFont="1" applyFill="1" applyBorder="1">
      <alignment/>
      <protection/>
    </xf>
    <xf numFmtId="3" fontId="17" fillId="0" borderId="14" xfId="58" applyNumberFormat="1" applyFont="1" applyFill="1" applyBorder="1">
      <alignment/>
      <protection/>
    </xf>
    <xf numFmtId="3" fontId="17" fillId="0" borderId="14" xfId="63" applyNumberFormat="1" applyFont="1" applyFill="1" applyBorder="1" applyAlignment="1" applyProtection="1">
      <alignment/>
      <protection locked="0"/>
    </xf>
    <xf numFmtId="3" fontId="0" fillId="0" borderId="14" xfId="58" applyNumberFormat="1" applyBorder="1">
      <alignment/>
      <protection/>
    </xf>
    <xf numFmtId="3" fontId="17" fillId="0" borderId="14" xfId="58" applyNumberFormat="1" applyFont="1" applyFill="1" applyBorder="1" applyAlignment="1">
      <alignment horizontal="right" vertical="center"/>
      <protection/>
    </xf>
    <xf numFmtId="165" fontId="17" fillId="0" borderId="14" xfId="58" applyNumberFormat="1" applyFont="1" applyFill="1" applyBorder="1" applyAlignment="1">
      <alignment wrapText="1"/>
      <protection/>
    </xf>
    <xf numFmtId="3" fontId="0" fillId="0" borderId="14" xfId="58" applyNumberFormat="1" applyFont="1" applyFill="1" applyBorder="1" applyAlignment="1">
      <alignment wrapText="1"/>
      <protection/>
    </xf>
    <xf numFmtId="165" fontId="0" fillId="0" borderId="14" xfId="58" applyNumberFormat="1" applyFont="1" applyFill="1" applyBorder="1" applyAlignment="1">
      <alignment wrapText="1"/>
      <protection/>
    </xf>
    <xf numFmtId="0" fontId="0" fillId="0" borderId="14" xfId="58" applyBorder="1">
      <alignment/>
      <protection/>
    </xf>
    <xf numFmtId="3" fontId="0" fillId="0" borderId="14" xfId="58" applyNumberFormat="1" applyFont="1" applyBorder="1">
      <alignment/>
      <protection/>
    </xf>
    <xf numFmtId="3" fontId="0" fillId="0" borderId="14" xfId="63" applyNumberFormat="1" applyFont="1" applyFill="1" applyBorder="1" applyAlignment="1" applyProtection="1">
      <alignment/>
      <protection locked="0"/>
    </xf>
    <xf numFmtId="3" fontId="17" fillId="0" borderId="14" xfId="63" applyNumberFormat="1" applyFont="1" applyFill="1" applyBorder="1" applyAlignment="1" applyProtection="1">
      <alignment/>
      <protection/>
    </xf>
    <xf numFmtId="3" fontId="17" fillId="0" borderId="14" xfId="58" applyNumberFormat="1" applyFont="1" applyFill="1" applyBorder="1" applyProtection="1">
      <alignment/>
      <protection locked="0"/>
    </xf>
    <xf numFmtId="3" fontId="0" fillId="0" borderId="14" xfId="63" applyNumberFormat="1" applyFont="1" applyFill="1" applyBorder="1">
      <alignment/>
      <protection/>
    </xf>
    <xf numFmtId="3" fontId="0" fillId="0" borderId="14" xfId="58" applyNumberFormat="1" applyFill="1" applyBorder="1" applyAlignment="1">
      <alignment horizontal="right"/>
      <protection/>
    </xf>
    <xf numFmtId="3" fontId="0" fillId="0" borderId="14" xfId="58" applyNumberFormat="1" applyFill="1" applyBorder="1">
      <alignment/>
      <protection/>
    </xf>
    <xf numFmtId="3" fontId="11" fillId="0" borderId="14" xfId="58" applyNumberFormat="1" applyFont="1" applyFill="1" applyBorder="1">
      <alignment/>
      <protection/>
    </xf>
    <xf numFmtId="0" fontId="11" fillId="0" borderId="14" xfId="58" applyFont="1" applyFill="1" applyBorder="1">
      <alignment/>
      <protection/>
    </xf>
    <xf numFmtId="0" fontId="62" fillId="0" borderId="14" xfId="58" applyFont="1" applyFill="1" applyBorder="1">
      <alignment/>
      <protection/>
    </xf>
    <xf numFmtId="3" fontId="60" fillId="37" borderId="10" xfId="58" applyNumberFormat="1" applyFont="1" applyFill="1" applyBorder="1" applyAlignment="1">
      <alignment horizontal="right" wrapText="1"/>
      <protection/>
    </xf>
    <xf numFmtId="3" fontId="16" fillId="42" borderId="10" xfId="58" applyNumberFormat="1" applyFont="1" applyFill="1" applyBorder="1" applyAlignment="1">
      <alignment wrapText="1"/>
      <protection/>
    </xf>
    <xf numFmtId="3" fontId="2" fillId="42" borderId="10" xfId="58" applyNumberFormat="1" applyFont="1" applyFill="1" applyBorder="1" applyAlignment="1">
      <alignment wrapText="1"/>
      <protection/>
    </xf>
    <xf numFmtId="3" fontId="16" fillId="0" borderId="10" xfId="58" applyNumberFormat="1" applyFont="1" applyFill="1" applyBorder="1" applyAlignment="1">
      <alignment wrapText="1"/>
      <protection/>
    </xf>
    <xf numFmtId="0" fontId="2" fillId="41" borderId="15" xfId="58" applyNumberFormat="1" applyFont="1" applyFill="1" applyBorder="1" applyAlignment="1">
      <alignment horizontal="center" wrapText="1"/>
      <protection/>
    </xf>
    <xf numFmtId="0" fontId="2" fillId="41" borderId="16" xfId="58" applyNumberFormat="1" applyFont="1" applyFill="1" applyBorder="1" applyAlignment="1">
      <alignment horizontal="center" wrapText="1"/>
      <protection/>
    </xf>
    <xf numFmtId="0" fontId="63" fillId="33" borderId="17" xfId="58" applyFont="1" applyFill="1" applyBorder="1" applyAlignment="1">
      <alignment horizontal="left" vertical="center"/>
      <protection/>
    </xf>
    <xf numFmtId="3" fontId="60" fillId="37" borderId="18" xfId="58" applyNumberFormat="1" applyFont="1" applyFill="1" applyBorder="1" applyAlignment="1">
      <alignment horizontal="right" wrapText="1"/>
      <protection/>
    </xf>
    <xf numFmtId="0" fontId="15" fillId="0" borderId="17" xfId="58" applyFont="1" applyFill="1" applyBorder="1" applyAlignment="1">
      <alignment horizontal="left" vertical="center"/>
      <protection/>
    </xf>
    <xf numFmtId="3" fontId="2" fillId="42" borderId="18" xfId="58" applyNumberFormat="1" applyFont="1" applyFill="1" applyBorder="1" applyAlignment="1">
      <alignment wrapText="1"/>
      <protection/>
    </xf>
    <xf numFmtId="3" fontId="0" fillId="0" borderId="19" xfId="58" applyNumberFormat="1" applyBorder="1">
      <alignment/>
      <protection/>
    </xf>
    <xf numFmtId="3" fontId="0" fillId="0" borderId="19" xfId="58" applyNumberFormat="1" applyFont="1" applyFill="1" applyBorder="1" applyAlignment="1">
      <alignment wrapText="1"/>
      <protection/>
    </xf>
    <xf numFmtId="3" fontId="0" fillId="0" borderId="19" xfId="58" applyNumberFormat="1" applyFont="1" applyFill="1" applyBorder="1">
      <alignment/>
      <protection/>
    </xf>
    <xf numFmtId="3" fontId="2" fillId="0" borderId="18" xfId="58" applyNumberFormat="1" applyFont="1" applyFill="1" applyBorder="1">
      <alignment/>
      <protection/>
    </xf>
    <xf numFmtId="3" fontId="2" fillId="0" borderId="18" xfId="58" applyNumberFormat="1" applyFont="1" applyFill="1" applyBorder="1" applyAlignment="1">
      <alignment wrapText="1"/>
      <protection/>
    </xf>
    <xf numFmtId="3" fontId="17" fillId="0" borderId="19" xfId="58" applyNumberFormat="1" applyFont="1" applyFill="1" applyBorder="1" applyProtection="1">
      <alignment/>
      <protection locked="0"/>
    </xf>
    <xf numFmtId="3" fontId="60" fillId="33" borderId="18" xfId="58" applyNumberFormat="1" applyFont="1" applyFill="1" applyBorder="1" applyAlignment="1">
      <alignment wrapText="1"/>
      <protection/>
    </xf>
    <xf numFmtId="0" fontId="63" fillId="34" borderId="17" xfId="58" applyFont="1" applyFill="1" applyBorder="1" applyAlignment="1">
      <alignment horizontal="left" vertical="center"/>
      <protection/>
    </xf>
    <xf numFmtId="3" fontId="60" fillId="34" borderId="18" xfId="58" applyNumberFormat="1" applyFont="1" applyFill="1" applyBorder="1" applyAlignment="1">
      <alignment wrapText="1"/>
      <protection/>
    </xf>
    <xf numFmtId="0" fontId="63" fillId="34" borderId="17" xfId="58" applyFont="1" applyFill="1" applyBorder="1" applyAlignment="1">
      <alignment horizontal="left" wrapText="1"/>
      <protection/>
    </xf>
    <xf numFmtId="0" fontId="15" fillId="0" borderId="17" xfId="58" applyFont="1" applyFill="1" applyBorder="1" applyAlignment="1">
      <alignment horizontal="left" wrapText="1"/>
      <protection/>
    </xf>
    <xf numFmtId="0" fontId="15" fillId="0" borderId="17" xfId="58" applyFont="1" applyBorder="1">
      <alignment/>
      <protection/>
    </xf>
    <xf numFmtId="3" fontId="2" fillId="0" borderId="18" xfId="58" applyNumberFormat="1" applyFont="1" applyBorder="1">
      <alignment/>
      <protection/>
    </xf>
    <xf numFmtId="0" fontId="63" fillId="33" borderId="17" xfId="58" applyFont="1" applyFill="1" applyBorder="1" applyAlignment="1">
      <alignment horizontal="left" wrapText="1"/>
      <protection/>
    </xf>
    <xf numFmtId="0" fontId="63" fillId="33" borderId="20" xfId="58" applyFont="1" applyFill="1" applyBorder="1" applyAlignment="1">
      <alignment wrapText="1"/>
      <protection/>
    </xf>
    <xf numFmtId="3" fontId="60" fillId="33" borderId="21" xfId="58" applyNumberFormat="1" applyFont="1" applyFill="1" applyBorder="1">
      <alignment/>
      <protection/>
    </xf>
    <xf numFmtId="3" fontId="60" fillId="33" borderId="22" xfId="58" applyNumberFormat="1" applyFont="1" applyFill="1" applyBorder="1">
      <alignment/>
      <protection/>
    </xf>
    <xf numFmtId="0" fontId="2" fillId="0" borderId="23" xfId="58" applyFont="1" applyFill="1" applyBorder="1" applyAlignment="1">
      <alignment wrapText="1"/>
      <protection/>
    </xf>
    <xf numFmtId="3" fontId="16" fillId="0" borderId="10" xfId="58" applyNumberFormat="1" applyFont="1" applyFill="1" applyBorder="1">
      <alignment/>
      <protection/>
    </xf>
    <xf numFmtId="0" fontId="2" fillId="0" borderId="23" xfId="58" applyFont="1" applyFill="1" applyBorder="1" applyAlignment="1">
      <alignment vertical="top" wrapText="1"/>
      <protection/>
    </xf>
    <xf numFmtId="3" fontId="17" fillId="0" borderId="10" xfId="58" applyNumberFormat="1" applyFont="1" applyFill="1" applyBorder="1">
      <alignment/>
      <protection/>
    </xf>
    <xf numFmtId="3" fontId="17" fillId="0" borderId="10" xfId="58" applyNumberFormat="1" applyFont="1" applyFill="1" applyBorder="1" applyAlignment="1">
      <alignment wrapText="1"/>
      <protection/>
    </xf>
    <xf numFmtId="165" fontId="17" fillId="0" borderId="10" xfId="58" applyNumberFormat="1" applyFont="1" applyFill="1" applyBorder="1" applyAlignment="1">
      <alignment wrapText="1"/>
      <protection/>
    </xf>
    <xf numFmtId="165" fontId="0" fillId="0" borderId="10" xfId="58" applyNumberFormat="1" applyFont="1" applyFill="1" applyBorder="1" applyAlignment="1">
      <alignment wrapText="1"/>
      <protection/>
    </xf>
    <xf numFmtId="3" fontId="20" fillId="43" borderId="0" xfId="58" applyNumberFormat="1" applyFont="1" applyFill="1">
      <alignment/>
      <protection/>
    </xf>
    <xf numFmtId="3" fontId="0" fillId="43" borderId="0" xfId="58" applyNumberFormat="1" applyFill="1">
      <alignment/>
      <protection/>
    </xf>
    <xf numFmtId="10" fontId="0" fillId="43" borderId="0" xfId="58" applyNumberFormat="1" applyFill="1">
      <alignment/>
      <protection/>
    </xf>
    <xf numFmtId="3" fontId="0" fillId="44" borderId="0" xfId="58" applyNumberFormat="1" applyFill="1">
      <alignment/>
      <protection/>
    </xf>
    <xf numFmtId="10" fontId="0" fillId="44" borderId="0" xfId="58" applyNumberFormat="1" applyFill="1">
      <alignment/>
      <protection/>
    </xf>
    <xf numFmtId="3" fontId="2" fillId="44" borderId="24" xfId="58" applyNumberFormat="1" applyFont="1" applyFill="1" applyBorder="1" applyAlignment="1">
      <alignment horizontal="center" wrapText="1"/>
      <protection/>
    </xf>
    <xf numFmtId="3" fontId="2" fillId="44" borderId="24" xfId="58" applyNumberFormat="1" applyFont="1" applyFill="1" applyBorder="1" applyAlignment="1">
      <alignment horizontal="center"/>
      <protection/>
    </xf>
    <xf numFmtId="3" fontId="2" fillId="44" borderId="25" xfId="58" applyNumberFormat="1" applyFont="1" applyFill="1" applyBorder="1" applyAlignment="1">
      <alignment horizontal="center" wrapText="1"/>
      <protection/>
    </xf>
    <xf numFmtId="10" fontId="2" fillId="44" borderId="25" xfId="58" applyNumberFormat="1" applyFont="1" applyFill="1" applyBorder="1" applyAlignment="1">
      <alignment horizontal="center"/>
      <protection/>
    </xf>
    <xf numFmtId="1" fontId="2" fillId="44" borderId="25" xfId="58" applyNumberFormat="1" applyFont="1" applyFill="1" applyBorder="1" applyAlignment="1">
      <alignment horizontal="center" wrapText="1"/>
      <protection/>
    </xf>
    <xf numFmtId="1" fontId="2" fillId="44" borderId="25" xfId="58" applyNumberFormat="1" applyFont="1" applyFill="1" applyBorder="1" applyAlignment="1">
      <alignment horizontal="center"/>
      <protection/>
    </xf>
    <xf numFmtId="3" fontId="2" fillId="0" borderId="11" xfId="58" applyNumberFormat="1" applyFont="1" applyBorder="1" applyAlignment="1">
      <alignment horizontal="center"/>
      <protection/>
    </xf>
    <xf numFmtId="3" fontId="0" fillId="0" borderId="26" xfId="58" applyNumberFormat="1" applyFont="1" applyFill="1" applyBorder="1">
      <alignment/>
      <protection/>
    </xf>
    <xf numFmtId="3" fontId="0" fillId="45" borderId="27" xfId="58" applyNumberFormat="1" applyFill="1" applyBorder="1">
      <alignment/>
      <protection/>
    </xf>
    <xf numFmtId="3" fontId="0" fillId="41" borderId="27" xfId="58" applyNumberFormat="1" applyFill="1" applyBorder="1">
      <alignment/>
      <protection/>
    </xf>
    <xf numFmtId="3" fontId="0" fillId="0" borderId="0" xfId="58" applyNumberFormat="1" applyFill="1" applyBorder="1">
      <alignment/>
      <protection/>
    </xf>
    <xf numFmtId="3" fontId="0" fillId="0" borderId="24" xfId="58" applyNumberFormat="1" applyFont="1" applyFill="1" applyBorder="1">
      <alignment/>
      <protection/>
    </xf>
    <xf numFmtId="3" fontId="0" fillId="41" borderId="25" xfId="58" applyNumberFormat="1" applyFill="1" applyBorder="1">
      <alignment/>
      <protection/>
    </xf>
    <xf numFmtId="3" fontId="0" fillId="37" borderId="25" xfId="58" applyNumberFormat="1" applyFill="1" applyBorder="1">
      <alignment/>
      <protection/>
    </xf>
    <xf numFmtId="3" fontId="0" fillId="0" borderId="11" xfId="58" applyNumberFormat="1" applyFill="1" applyBorder="1">
      <alignment/>
      <protection/>
    </xf>
    <xf numFmtId="3" fontId="2" fillId="0" borderId="0" xfId="58" applyNumberFormat="1" applyFont="1">
      <alignment/>
      <protection/>
    </xf>
    <xf numFmtId="3" fontId="2" fillId="0" borderId="26" xfId="58" applyNumberFormat="1" applyFont="1" applyBorder="1">
      <alignment/>
      <protection/>
    </xf>
    <xf numFmtId="3" fontId="2" fillId="37" borderId="27" xfId="58" applyNumberFormat="1" applyFont="1" applyFill="1" applyBorder="1">
      <alignment/>
      <protection/>
    </xf>
    <xf numFmtId="3" fontId="0" fillId="0" borderId="0" xfId="58" applyNumberFormat="1" applyFont="1">
      <alignment/>
      <protection/>
    </xf>
    <xf numFmtId="10" fontId="0" fillId="0" borderId="0" xfId="58" applyNumberFormat="1" applyFont="1">
      <alignment/>
      <protection/>
    </xf>
    <xf numFmtId="3" fontId="0" fillId="0" borderId="26" xfId="58" applyNumberFormat="1" applyFont="1" applyBorder="1">
      <alignment/>
      <protection/>
    </xf>
    <xf numFmtId="3" fontId="0" fillId="37" borderId="27" xfId="58" applyNumberFormat="1" applyFont="1" applyFill="1" applyBorder="1">
      <alignment/>
      <protection/>
    </xf>
    <xf numFmtId="3" fontId="0" fillId="0" borderId="26" xfId="58" applyNumberFormat="1" applyFont="1" applyBorder="1" applyAlignment="1">
      <alignment horizontal="left" indent="1"/>
      <protection/>
    </xf>
    <xf numFmtId="3" fontId="3" fillId="0" borderId="0" xfId="58" applyNumberFormat="1" applyFont="1">
      <alignment/>
      <protection/>
    </xf>
    <xf numFmtId="10" fontId="2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" fontId="0" fillId="0" borderId="0" xfId="58" applyNumberFormat="1">
      <alignment/>
      <protection/>
    </xf>
    <xf numFmtId="165" fontId="0" fillId="0" borderId="0" xfId="0" applyNumberFormat="1" applyAlignment="1">
      <alignment/>
    </xf>
    <xf numFmtId="165" fontId="0" fillId="4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2" fillId="46" borderId="28" xfId="58" applyFont="1" applyFill="1" applyBorder="1" applyAlignment="1">
      <alignment horizontal="center" wrapText="1"/>
      <protection/>
    </xf>
    <xf numFmtId="0" fontId="10" fillId="46" borderId="15" xfId="58" applyNumberFormat="1" applyFont="1" applyFill="1" applyBorder="1" applyAlignment="1">
      <alignment horizontal="center" wrapText="1"/>
      <protection/>
    </xf>
    <xf numFmtId="0" fontId="10" fillId="46" borderId="29" xfId="58" applyNumberFormat="1" applyFont="1" applyFill="1" applyBorder="1" applyAlignment="1">
      <alignment horizontal="center" wrapText="1"/>
      <protection/>
    </xf>
    <xf numFmtId="0" fontId="10" fillId="46" borderId="30" xfId="58" applyNumberFormat="1" applyFont="1" applyFill="1" applyBorder="1" applyAlignment="1">
      <alignment horizontal="center" wrapText="1"/>
      <protection/>
    </xf>
    <xf numFmtId="3" fontId="10" fillId="46" borderId="30" xfId="58" applyNumberFormat="1" applyFont="1" applyFill="1" applyBorder="1" applyAlignment="1">
      <alignment horizontal="center" wrapText="1"/>
      <protection/>
    </xf>
    <xf numFmtId="3" fontId="0" fillId="0" borderId="31" xfId="58" applyNumberFormat="1" applyFont="1" applyFill="1" applyBorder="1">
      <alignment/>
      <protection/>
    </xf>
    <xf numFmtId="3" fontId="0" fillId="0" borderId="10" xfId="58" applyNumberFormat="1" applyFont="1" applyFill="1" applyBorder="1">
      <alignment/>
      <protection/>
    </xf>
    <xf numFmtId="3" fontId="0" fillId="47" borderId="31" xfId="58" applyNumberFormat="1" applyFont="1" applyFill="1" applyBorder="1">
      <alignment/>
      <protection/>
    </xf>
    <xf numFmtId="0" fontId="2" fillId="0" borderId="32" xfId="58" applyFont="1" applyFill="1" applyBorder="1" applyAlignment="1">
      <alignment wrapText="1"/>
      <protection/>
    </xf>
    <xf numFmtId="0" fontId="2" fillId="41" borderId="33" xfId="58" applyNumberFormat="1" applyFont="1" applyFill="1" applyBorder="1" applyAlignment="1">
      <alignment horizontal="left" wrapText="1"/>
      <protection/>
    </xf>
    <xf numFmtId="0" fontId="2" fillId="41" borderId="34" xfId="58" applyNumberFormat="1" applyFont="1" applyFill="1" applyBorder="1" applyAlignment="1">
      <alignment horizontal="center" wrapText="1"/>
      <protection/>
    </xf>
    <xf numFmtId="0" fontId="10" fillId="46" borderId="35" xfId="58" applyNumberFormat="1" applyFont="1" applyFill="1" applyBorder="1" applyAlignment="1">
      <alignment horizontal="center" wrapText="1"/>
      <protection/>
    </xf>
    <xf numFmtId="3" fontId="10" fillId="46" borderId="10" xfId="58" applyNumberFormat="1" applyFont="1" applyFill="1" applyBorder="1" applyAlignment="1">
      <alignment horizontal="center" wrapText="1"/>
      <protection/>
    </xf>
    <xf numFmtId="0" fontId="2" fillId="0" borderId="36" xfId="58" applyFont="1" applyFill="1" applyBorder="1" applyAlignment="1">
      <alignment horizontal="left" wrapText="1"/>
      <protection/>
    </xf>
    <xf numFmtId="3" fontId="2" fillId="48" borderId="10" xfId="58" applyNumberFormat="1" applyFont="1" applyFill="1" applyBorder="1">
      <alignment/>
      <protection/>
    </xf>
    <xf numFmtId="3" fontId="2" fillId="48" borderId="18" xfId="58" applyNumberFormat="1" applyFont="1" applyFill="1" applyBorder="1">
      <alignment/>
      <protection/>
    </xf>
    <xf numFmtId="0" fontId="6" fillId="0" borderId="36" xfId="58" applyFont="1" applyFill="1" applyBorder="1" applyAlignment="1">
      <alignment wrapText="1"/>
      <protection/>
    </xf>
    <xf numFmtId="3" fontId="0" fillId="48" borderId="10" xfId="58" applyNumberFormat="1" applyFont="1" applyFill="1" applyBorder="1">
      <alignment/>
      <protection/>
    </xf>
    <xf numFmtId="3" fontId="0" fillId="0" borderId="10" xfId="58" applyNumberFormat="1" applyFont="1" applyBorder="1">
      <alignment/>
      <protection/>
    </xf>
    <xf numFmtId="3" fontId="0" fillId="0" borderId="18" xfId="58" applyNumberFormat="1" applyFont="1" applyFill="1" applyBorder="1">
      <alignment/>
      <protection/>
    </xf>
    <xf numFmtId="0" fontId="2" fillId="0" borderId="36" xfId="58" applyFont="1" applyFill="1" applyBorder="1" applyAlignment="1">
      <alignment horizontal="left"/>
      <protection/>
    </xf>
    <xf numFmtId="0" fontId="2" fillId="0" borderId="36" xfId="58" applyFont="1" applyFill="1" applyBorder="1" applyAlignment="1">
      <alignment wrapText="1"/>
      <protection/>
    </xf>
    <xf numFmtId="0" fontId="2" fillId="0" borderId="36" xfId="58" applyFont="1" applyFill="1" applyBorder="1" applyAlignment="1">
      <alignment/>
      <protection/>
    </xf>
    <xf numFmtId="3" fontId="2" fillId="47" borderId="31" xfId="58" applyNumberFormat="1" applyFont="1" applyFill="1" applyBorder="1">
      <alignment/>
      <protection/>
    </xf>
    <xf numFmtId="3" fontId="2" fillId="47" borderId="37" xfId="58" applyNumberFormat="1" applyFont="1" applyFill="1" applyBorder="1">
      <alignment/>
      <protection/>
    </xf>
    <xf numFmtId="3" fontId="2" fillId="47" borderId="10" xfId="58" applyNumberFormat="1" applyFont="1" applyFill="1" applyBorder="1">
      <alignment/>
      <protection/>
    </xf>
    <xf numFmtId="0" fontId="6" fillId="0" borderId="32" xfId="58" applyFont="1" applyFill="1" applyBorder="1" applyAlignment="1">
      <alignment wrapText="1"/>
      <protection/>
    </xf>
    <xf numFmtId="3" fontId="0" fillId="0" borderId="31" xfId="58" applyNumberFormat="1" applyFont="1" applyBorder="1">
      <alignment/>
      <protection/>
    </xf>
    <xf numFmtId="3" fontId="0" fillId="47" borderId="38" xfId="58" applyNumberFormat="1" applyFont="1" applyFill="1" applyBorder="1">
      <alignment/>
      <protection/>
    </xf>
    <xf numFmtId="0" fontId="9" fillId="0" borderId="39" xfId="58" applyFont="1" applyFill="1" applyBorder="1" applyAlignment="1">
      <alignment/>
      <protection/>
    </xf>
    <xf numFmtId="3" fontId="3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 wrapText="1"/>
      <protection/>
    </xf>
    <xf numFmtId="165" fontId="0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wrapText="1"/>
      <protection/>
    </xf>
    <xf numFmtId="165" fontId="0" fillId="0" borderId="0" xfId="58" applyNumberFormat="1" applyBorder="1">
      <alignment/>
      <protection/>
    </xf>
    <xf numFmtId="3" fontId="23" fillId="0" borderId="0" xfId="58" applyNumberFormat="1" applyFont="1" applyFill="1" applyBorder="1">
      <alignment/>
      <protection/>
    </xf>
    <xf numFmtId="0" fontId="0" fillId="0" borderId="0" xfId="58" applyFont="1" applyBorder="1" applyAlignment="1">
      <alignment horizontal="left"/>
      <protection/>
    </xf>
    <xf numFmtId="3" fontId="4" fillId="0" borderId="0" xfId="58" applyNumberFormat="1" applyFont="1" applyFill="1" applyBorder="1" applyAlignment="1">
      <alignment/>
      <protection/>
    </xf>
    <xf numFmtId="169" fontId="0" fillId="0" borderId="0" xfId="58" applyNumberFormat="1" applyFont="1" applyFill="1" applyBorder="1">
      <alignment/>
      <protection/>
    </xf>
    <xf numFmtId="3" fontId="4" fillId="0" borderId="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63" applyFont="1" applyBorder="1" applyAlignment="1">
      <alignment horizontal="left"/>
      <protection/>
    </xf>
    <xf numFmtId="169" fontId="24" fillId="0" borderId="0" xfId="58" applyNumberFormat="1" applyFont="1" applyFill="1" applyBorder="1">
      <alignment/>
      <protection/>
    </xf>
    <xf numFmtId="167" fontId="0" fillId="0" borderId="0" xfId="58" applyNumberFormat="1" applyBorder="1">
      <alignment/>
      <protection/>
    </xf>
    <xf numFmtId="169" fontId="0" fillId="0" borderId="0" xfId="58" applyNumberFormat="1" applyFill="1" applyBorder="1">
      <alignment/>
      <protection/>
    </xf>
    <xf numFmtId="169" fontId="12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0" fillId="0" borderId="40" xfId="58" applyFont="1" applyFill="1" applyBorder="1" applyAlignment="1">
      <alignment wrapText="1"/>
      <protection/>
    </xf>
    <xf numFmtId="165" fontId="0" fillId="0" borderId="41" xfId="58" applyNumberFormat="1" applyFont="1" applyFill="1" applyBorder="1" applyAlignment="1">
      <alignment wrapText="1"/>
      <protection/>
    </xf>
    <xf numFmtId="0" fontId="0" fillId="0" borderId="41" xfId="58" applyFill="1" applyBorder="1">
      <alignment/>
      <protection/>
    </xf>
    <xf numFmtId="3" fontId="2" fillId="0" borderId="0" xfId="58" applyNumberFormat="1" applyFont="1" applyBorder="1" applyAlignment="1">
      <alignment horizontal="center"/>
      <protection/>
    </xf>
    <xf numFmtId="3" fontId="0" fillId="0" borderId="0" xfId="58" applyNumberFormat="1" applyFont="1" applyFill="1" applyBorder="1">
      <alignment/>
      <protection/>
    </xf>
    <xf numFmtId="3" fontId="2" fillId="0" borderId="0" xfId="58" applyNumberFormat="1" applyFont="1" applyBorder="1">
      <alignment/>
      <protection/>
    </xf>
    <xf numFmtId="3" fontId="0" fillId="0" borderId="0" xfId="58" applyNumberFormat="1" applyFont="1" applyBorder="1">
      <alignment/>
      <protection/>
    </xf>
    <xf numFmtId="1" fontId="0" fillId="0" borderId="0" xfId="58" applyNumberFormat="1" applyBorder="1">
      <alignment/>
      <protection/>
    </xf>
    <xf numFmtId="1" fontId="2" fillId="44" borderId="42" xfId="58" applyNumberFormat="1" applyFont="1" applyFill="1" applyBorder="1" applyAlignment="1">
      <alignment horizontal="center"/>
      <protection/>
    </xf>
    <xf numFmtId="3" fontId="0" fillId="41" borderId="43" xfId="58" applyNumberFormat="1" applyFill="1" applyBorder="1">
      <alignment/>
      <protection/>
    </xf>
    <xf numFmtId="3" fontId="0" fillId="37" borderId="42" xfId="58" applyNumberFormat="1" applyFill="1" applyBorder="1">
      <alignment/>
      <protection/>
    </xf>
    <xf numFmtId="3" fontId="2" fillId="37" borderId="43" xfId="58" applyNumberFormat="1" applyFont="1" applyFill="1" applyBorder="1">
      <alignment/>
      <protection/>
    </xf>
    <xf numFmtId="3" fontId="0" fillId="37" borderId="43" xfId="58" applyNumberFormat="1" applyFont="1" applyFill="1" applyBorder="1">
      <alignment/>
      <protection/>
    </xf>
    <xf numFmtId="3" fontId="0" fillId="0" borderId="44" xfId="58" applyNumberFormat="1" applyBorder="1">
      <alignment/>
      <protection/>
    </xf>
    <xf numFmtId="3" fontId="2" fillId="0" borderId="44" xfId="58" applyNumberFormat="1" applyFont="1" applyBorder="1" applyAlignment="1">
      <alignment horizontal="center"/>
      <protection/>
    </xf>
    <xf numFmtId="3" fontId="0" fillId="0" borderId="44" xfId="58" applyNumberFormat="1" applyFill="1" applyBorder="1">
      <alignment/>
      <protection/>
    </xf>
    <xf numFmtId="3" fontId="2" fillId="0" borderId="44" xfId="58" applyNumberFormat="1" applyFont="1" applyBorder="1">
      <alignment/>
      <protection/>
    </xf>
    <xf numFmtId="3" fontId="0" fillId="0" borderId="44" xfId="58" applyNumberFormat="1" applyFont="1" applyBorder="1">
      <alignment/>
      <protection/>
    </xf>
    <xf numFmtId="0" fontId="0" fillId="0" borderId="44" xfId="58" applyBorder="1">
      <alignment/>
      <protection/>
    </xf>
    <xf numFmtId="0" fontId="26" fillId="0" borderId="0" xfId="0" applyFont="1" applyAlignment="1">
      <alignment horizontal="center"/>
    </xf>
    <xf numFmtId="0" fontId="26" fillId="0" borderId="0" xfId="58" applyFont="1" applyAlignment="1">
      <alignment horizontal="center"/>
      <protection/>
    </xf>
    <xf numFmtId="3" fontId="26" fillId="0" borderId="0" xfId="58" applyNumberFormat="1" applyFont="1" applyAlignment="1">
      <alignment horizontal="center"/>
      <protection/>
    </xf>
    <xf numFmtId="3" fontId="0" fillId="41" borderId="24" xfId="58" applyNumberFormat="1" applyFont="1" applyFill="1" applyBorder="1" applyAlignment="1">
      <alignment horizontal="left" vertical="center" wrapText="1"/>
      <protection/>
    </xf>
    <xf numFmtId="1" fontId="0" fillId="41" borderId="34" xfId="58" applyNumberFormat="1" applyFill="1" applyBorder="1" applyAlignment="1">
      <alignment horizontal="center" vertical="center"/>
      <protection/>
    </xf>
    <xf numFmtId="3" fontId="0" fillId="41" borderId="34" xfId="58" applyNumberFormat="1" applyFill="1" applyBorder="1" applyAlignment="1">
      <alignment horizontal="center" vertical="center"/>
      <protection/>
    </xf>
    <xf numFmtId="10" fontId="0" fillId="41" borderId="34" xfId="58" applyNumberFormat="1" applyFont="1" applyFill="1" applyBorder="1" applyAlignment="1">
      <alignment horizontal="center" vertical="center"/>
      <protection/>
    </xf>
    <xf numFmtId="1" fontId="0" fillId="41" borderId="34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laad 2" xfId="56"/>
    <cellStyle name="Normaallaad_2005 Ikv lisad" xfId="57"/>
    <cellStyle name="Normal 2" xfId="58"/>
    <cellStyle name="Normal 2 2" xfId="59"/>
    <cellStyle name="Normal 3" xfId="60"/>
    <cellStyle name="Normal 4" xfId="61"/>
    <cellStyle name="Normal_RM progn.dets99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3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rek_K\Desktop\Eelarvemude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ndrek_K\LOCALS~1\Temp\notesB14E41\EA%20strat%20numbrite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itelleht"/>
      <sheetName val="Volikogu eelarve"/>
      <sheetName val="Valitsuse eelarve"/>
      <sheetName val="Eelarve detailne"/>
      <sheetName val=" Kuni 2011 detailne"/>
      <sheetName val="Tulumaks"/>
      <sheetName val="Maamaks"/>
      <sheetName val="Tasandusfond"/>
      <sheetName val="Investeeringud"/>
      <sheetName val="Tasuvus"/>
      <sheetName val="Kohustused"/>
      <sheetName val="Likviidne vara"/>
      <sheetName val="Sõltuvad"/>
      <sheetName val="Finantsdistsipliin"/>
      <sheetName val="Tundlikkus"/>
      <sheetName val="Graafikud"/>
      <sheetName val="Tegevuskava"/>
      <sheetName val="Kvartaliaruanne"/>
      <sheetName val="Strateegia maj. sisu"/>
      <sheetName val="Strateegia COFOG"/>
      <sheetName val="Strateegia sõltuvad"/>
      <sheetName val="Strateegia arvestusüksus"/>
      <sheetName val="Sheet1"/>
    </sheetNames>
    <sheetDataSet>
      <sheetData sheetId="5">
        <row r="3">
          <cell r="H3">
            <v>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larvearuanne"/>
      <sheetName val="inv 2011"/>
      <sheetName val="inv 2012"/>
      <sheetName val="KOV"/>
      <sheetName val="KOV valdkonniti"/>
      <sheetName val="KOV võetud kohustustega"/>
      <sheetName val="kulud valdkonniti"/>
      <sheetName val="AK"/>
      <sheetName val="sõltuvad üksused"/>
      <sheetName val="arvestusüksus"/>
      <sheetName val="tulud"/>
      <sheetName val="makronäitajad"/>
      <sheetName val="projektid"/>
      <sheetName val="inv kohustused"/>
      <sheetName val="laenukohustused"/>
      <sheetName val="graafikud"/>
    </sheetNames>
    <sheetDataSet>
      <sheetData sheetId="1">
        <row r="17">
          <cell r="F17">
            <v>629055</v>
          </cell>
        </row>
        <row r="18">
          <cell r="F18">
            <v>174078.84</v>
          </cell>
        </row>
        <row r="70">
          <cell r="F70">
            <v>7108.15</v>
          </cell>
        </row>
        <row r="105">
          <cell r="F105">
            <v>47934</v>
          </cell>
        </row>
        <row r="114">
          <cell r="F114">
            <v>6556.99</v>
          </cell>
        </row>
        <row r="117">
          <cell r="F117">
            <v>6269.52</v>
          </cell>
        </row>
        <row r="129">
          <cell r="F129">
            <v>3641758.6699999995</v>
          </cell>
          <cell r="G129">
            <v>1998122.4</v>
          </cell>
        </row>
        <row r="191">
          <cell r="F191">
            <v>29200</v>
          </cell>
          <cell r="G191">
            <v>29200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140625" style="0" bestFit="1" customWidth="1"/>
    <col min="2" max="4" width="12.7109375" style="0" bestFit="1" customWidth="1"/>
    <col min="5" max="11" width="11.140625" style="0" bestFit="1" customWidth="1"/>
  </cols>
  <sheetData>
    <row r="1" spans="1:11" ht="15.75">
      <c r="A1" s="225" t="s">
        <v>159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16.5" thickBot="1">
      <c r="A4" s="29" t="s">
        <v>84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</row>
    <row r="5" spans="1:11" ht="12.75">
      <c r="A5" s="31" t="s">
        <v>102</v>
      </c>
      <c r="B5" s="32">
        <v>16.10669907</v>
      </c>
      <c r="C5" s="32">
        <v>13.86082809</v>
      </c>
      <c r="D5" s="33">
        <v>14.50093297</v>
      </c>
      <c r="E5" s="33">
        <v>16</v>
      </c>
      <c r="F5" s="33">
        <v>16.7</v>
      </c>
      <c r="G5" s="33">
        <v>17.7</v>
      </c>
      <c r="H5" s="33">
        <v>18.8</v>
      </c>
      <c r="I5" s="33">
        <v>20</v>
      </c>
      <c r="J5" s="33">
        <v>21.2</v>
      </c>
      <c r="K5" s="33">
        <v>22.7360637293143</v>
      </c>
    </row>
    <row r="6" spans="1:11" ht="12.75">
      <c r="A6" s="31" t="s">
        <v>85</v>
      </c>
      <c r="B6" s="34">
        <v>-0.050638907923715726</v>
      </c>
      <c r="C6" s="34">
        <v>-0.13899329893679735</v>
      </c>
      <c r="D6" s="35">
        <v>0.031054263751444378</v>
      </c>
      <c r="E6" s="35">
        <v>0.076</v>
      </c>
      <c r="F6" s="35">
        <v>0.017</v>
      </c>
      <c r="G6" s="35">
        <v>0.03</v>
      </c>
      <c r="H6" s="35">
        <v>0.034</v>
      </c>
      <c r="I6" s="35">
        <v>0.035</v>
      </c>
      <c r="J6" s="35">
        <v>0.035</v>
      </c>
      <c r="K6" s="35">
        <v>0.03178655323784074</v>
      </c>
    </row>
    <row r="7" spans="1:11" ht="12.75">
      <c r="A7" s="31" t="s">
        <v>86</v>
      </c>
      <c r="B7" s="36">
        <v>0.01764126635974672</v>
      </c>
      <c r="C7" s="36">
        <f aca="true" t="shared" si="0" ref="C7:K7">C5/B5-1</f>
        <v>-0.13943707337173217</v>
      </c>
      <c r="D7" s="37">
        <f t="shared" si="0"/>
        <v>0.046180854119517445</v>
      </c>
      <c r="E7" s="37">
        <v>0.117</v>
      </c>
      <c r="F7" s="37">
        <f t="shared" si="0"/>
        <v>0.043749999999999956</v>
      </c>
      <c r="G7" s="37">
        <v>0.062</v>
      </c>
      <c r="H7" s="37">
        <f t="shared" si="0"/>
        <v>0.062146892655367214</v>
      </c>
      <c r="I7" s="37">
        <f t="shared" si="0"/>
        <v>0.06382978723404253</v>
      </c>
      <c r="J7" s="37">
        <v>0.063</v>
      </c>
      <c r="K7" s="37">
        <f t="shared" si="0"/>
        <v>0.07245583628841046</v>
      </c>
    </row>
    <row r="8" spans="1:11" ht="12.75">
      <c r="A8" s="31" t="s">
        <v>87</v>
      </c>
      <c r="B8" s="36">
        <v>0.104</v>
      </c>
      <c r="C8" s="36">
        <v>-0.001</v>
      </c>
      <c r="D8" s="36">
        <v>0.03</v>
      </c>
      <c r="E8" s="35">
        <v>0.051</v>
      </c>
      <c r="F8" s="35">
        <v>0.034</v>
      </c>
      <c r="G8" s="35">
        <v>0.03</v>
      </c>
      <c r="H8" s="35">
        <v>0.027</v>
      </c>
      <c r="I8" s="35">
        <v>0.027</v>
      </c>
      <c r="J8" s="35">
        <v>0.0267</v>
      </c>
      <c r="K8" s="35">
        <v>0.026445000000000003</v>
      </c>
    </row>
    <row r="9" spans="1:11" ht="12.75">
      <c r="A9" s="31" t="s">
        <v>88</v>
      </c>
      <c r="B9" s="38">
        <v>656.5</v>
      </c>
      <c r="C9" s="38">
        <v>595.8</v>
      </c>
      <c r="D9" s="38">
        <v>570.875</v>
      </c>
      <c r="E9" s="38">
        <v>609.1</v>
      </c>
      <c r="F9" s="38">
        <v>613.1</v>
      </c>
      <c r="G9" s="38">
        <v>619.5</v>
      </c>
      <c r="H9" s="38">
        <v>623.2</v>
      </c>
      <c r="I9" s="38">
        <v>625.7</v>
      </c>
      <c r="J9" s="38">
        <v>628.2</v>
      </c>
      <c r="K9" s="38">
        <v>626</v>
      </c>
    </row>
    <row r="10" spans="1:11" ht="12.75">
      <c r="A10" s="31" t="s">
        <v>89</v>
      </c>
      <c r="B10" s="35">
        <v>0.0018312223409127082</v>
      </c>
      <c r="C10" s="35">
        <f aca="true" t="shared" si="1" ref="C10:K10">C9/B9-1</f>
        <v>-0.09246001523229253</v>
      </c>
      <c r="D10" s="39">
        <f t="shared" si="1"/>
        <v>-0.04183450822423629</v>
      </c>
      <c r="E10" s="39">
        <f t="shared" si="1"/>
        <v>0.06695861615940446</v>
      </c>
      <c r="F10" s="39">
        <f t="shared" si="1"/>
        <v>0.006567066163191582</v>
      </c>
      <c r="G10" s="39">
        <f>G9/F9-1</f>
        <v>0.010438753873756257</v>
      </c>
      <c r="H10" s="39">
        <f t="shared" si="1"/>
        <v>0.005972558514931503</v>
      </c>
      <c r="I10" s="39">
        <f t="shared" si="1"/>
        <v>0.004011553273427504</v>
      </c>
      <c r="J10" s="39">
        <f t="shared" si="1"/>
        <v>0.003995525011986523</v>
      </c>
      <c r="K10" s="39">
        <f t="shared" si="1"/>
        <v>-0.003502069404648256</v>
      </c>
    </row>
    <row r="11" spans="1:11" ht="12.75">
      <c r="A11" s="31" t="s">
        <v>90</v>
      </c>
      <c r="B11" s="38">
        <v>825.2272059105493</v>
      </c>
      <c r="C11" s="38">
        <v>783.81246</v>
      </c>
      <c r="D11" s="40">
        <v>792</v>
      </c>
      <c r="E11" s="40">
        <v>835</v>
      </c>
      <c r="F11" s="40">
        <v>867</v>
      </c>
      <c r="G11" s="40">
        <v>910</v>
      </c>
      <c r="H11" s="40">
        <v>958</v>
      </c>
      <c r="I11" s="40">
        <v>1011</v>
      </c>
      <c r="J11" s="40">
        <v>1071</v>
      </c>
      <c r="K11" s="40">
        <v>1110.758668964993</v>
      </c>
    </row>
    <row r="12" spans="1:11" ht="12.75">
      <c r="A12" s="31" t="s">
        <v>91</v>
      </c>
      <c r="B12" s="35">
        <v>0.13902611150317568</v>
      </c>
      <c r="C12" s="35">
        <f aca="true" t="shared" si="2" ref="C12:K12">C11/B11-1</f>
        <v>-0.05018587076858738</v>
      </c>
      <c r="D12" s="39">
        <f t="shared" si="2"/>
        <v>0.010445789545116435</v>
      </c>
      <c r="E12" s="39">
        <f t="shared" si="2"/>
        <v>0.05429292929292928</v>
      </c>
      <c r="F12" s="39">
        <f t="shared" si="2"/>
        <v>0.038323353293413076</v>
      </c>
      <c r="G12" s="39">
        <f>G11/F11-1</f>
        <v>0.049596309111880066</v>
      </c>
      <c r="H12" s="39">
        <f t="shared" si="2"/>
        <v>0.05274725274725278</v>
      </c>
      <c r="I12" s="39">
        <f t="shared" si="2"/>
        <v>0.055323590814196244</v>
      </c>
      <c r="J12" s="39">
        <f t="shared" si="2"/>
        <v>0.05934718100890213</v>
      </c>
      <c r="K12" s="39">
        <f t="shared" si="2"/>
        <v>0.03712294021007745</v>
      </c>
    </row>
    <row r="13" spans="1:11" ht="12.75">
      <c r="A13" s="31" t="s">
        <v>92</v>
      </c>
      <c r="B13" s="35">
        <f aca="true" t="shared" si="3" ref="B13:K13">((1+B12)/(1+B8))-1</f>
        <v>0.03172655027461557</v>
      </c>
      <c r="C13" s="35">
        <f t="shared" si="3"/>
        <v>-0.04923510587446189</v>
      </c>
      <c r="D13" s="39">
        <f t="shared" si="3"/>
        <v>-0.018984670344547205</v>
      </c>
      <c r="E13" s="39">
        <f t="shared" si="3"/>
        <v>0.003133139194033685</v>
      </c>
      <c r="F13" s="39">
        <f t="shared" si="3"/>
        <v>0.004181192740244644</v>
      </c>
      <c r="G13" s="39">
        <f t="shared" si="3"/>
        <v>0.01902554282706803</v>
      </c>
      <c r="H13" s="39">
        <f t="shared" si="3"/>
        <v>0.02507035321056761</v>
      </c>
      <c r="I13" s="39">
        <f t="shared" si="3"/>
        <v>0.027578958923268004</v>
      </c>
      <c r="J13" s="39">
        <f t="shared" si="3"/>
        <v>0.03179816987328543</v>
      </c>
      <c r="K13" s="39">
        <f t="shared" si="3"/>
        <v>0.010402837180830238</v>
      </c>
    </row>
    <row r="14" spans="1:11" ht="12.75">
      <c r="A14" s="31" t="s">
        <v>80</v>
      </c>
      <c r="G14" s="27">
        <v>1.03</v>
      </c>
      <c r="H14" s="27">
        <v>1.027</v>
      </c>
      <c r="I14" s="27">
        <v>1.027</v>
      </c>
      <c r="J14" s="28">
        <v>1.027</v>
      </c>
      <c r="K14" s="27">
        <v>1.0264</v>
      </c>
    </row>
    <row r="16" spans="1:11" s="42" customFormat="1" ht="13.5" thickBot="1">
      <c r="A16" s="50" t="s">
        <v>101</v>
      </c>
      <c r="B16" s="41">
        <v>2008</v>
      </c>
      <c r="C16" s="41">
        <v>2009</v>
      </c>
      <c r="D16" s="41">
        <v>2010</v>
      </c>
      <c r="E16" s="41">
        <v>2011</v>
      </c>
      <c r="F16" s="41">
        <v>2012</v>
      </c>
      <c r="G16" s="41">
        <v>2013</v>
      </c>
      <c r="H16" s="41">
        <v>2014</v>
      </c>
      <c r="I16" s="41">
        <v>2015</v>
      </c>
      <c r="J16" s="41">
        <v>2016</v>
      </c>
      <c r="K16" s="41">
        <v>2017</v>
      </c>
    </row>
    <row r="17" spans="1:11" ht="12.75">
      <c r="A17" s="43" t="s">
        <v>93</v>
      </c>
      <c r="B17" s="52">
        <v>45063.166666666664</v>
      </c>
      <c r="C17" s="52">
        <v>42214.583333333336</v>
      </c>
      <c r="D17" s="52">
        <v>40334.75</v>
      </c>
      <c r="E17" s="51">
        <v>40269.333333333336</v>
      </c>
      <c r="F17" s="44">
        <f>E17*(1+F18)</f>
        <v>40533.78470968095</v>
      </c>
      <c r="G17" s="44">
        <f>F17*(1+G18)</f>
        <v>40956.90691183713</v>
      </c>
      <c r="H17" s="44">
        <f>G17*(1+H18)</f>
        <v>41201.52443495869</v>
      </c>
      <c r="I17" s="44">
        <f>H17*(1+I18)</f>
        <v>41366.80654517595</v>
      </c>
      <c r="J17" s="44">
        <f>I17*(1+J18)</f>
        <v>41532.08865539321</v>
      </c>
      <c r="K17" s="44">
        <f>J17*(1+K18)</f>
        <v>41386.640398402014</v>
      </c>
    </row>
    <row r="18" spans="1:11" ht="12.75">
      <c r="A18" s="43" t="s">
        <v>94</v>
      </c>
      <c r="B18" s="45"/>
      <c r="C18" s="45">
        <f>(C17-B17)/B17</f>
        <v>-0.06321311936208053</v>
      </c>
      <c r="D18" s="45">
        <f>(D17-C17)/C17</f>
        <v>-0.04453042491240197</v>
      </c>
      <c r="E18" s="45">
        <f>(E17-D17)/D17</f>
        <v>-0.0016218438608560668</v>
      </c>
      <c r="F18" s="46">
        <f>F10</f>
        <v>0.006567066163191582</v>
      </c>
      <c r="G18" s="46">
        <f>G10</f>
        <v>0.010438753873756257</v>
      </c>
      <c r="H18" s="46">
        <f>H10</f>
        <v>0.005972558514931503</v>
      </c>
      <c r="I18" s="46">
        <f>I10</f>
        <v>0.004011553273427504</v>
      </c>
      <c r="J18" s="46">
        <f>J10</f>
        <v>0.003995525011986523</v>
      </c>
      <c r="K18" s="46">
        <f>K10</f>
        <v>-0.003502069404648256</v>
      </c>
    </row>
    <row r="19" spans="1:11" ht="12.75">
      <c r="A19" s="43" t="s">
        <v>95</v>
      </c>
      <c r="B19" s="52">
        <f>7227456370/15.6466</f>
        <v>461918651.3363926</v>
      </c>
      <c r="C19" s="52">
        <f>6485569741/15.6466</f>
        <v>414503453.8493986</v>
      </c>
      <c r="D19" s="52">
        <f>6109392000/15.6466</f>
        <v>390461314.27914053</v>
      </c>
      <c r="E19" s="51">
        <v>404014539</v>
      </c>
      <c r="F19" s="44">
        <f aca="true" t="shared" si="4" ref="F19:K19">F21*F17*12</f>
        <v>422252600.2679918</v>
      </c>
      <c r="G19" s="44">
        <f t="shared" si="4"/>
        <v>447821171.884217</v>
      </c>
      <c r="H19" s="44">
        <f t="shared" si="4"/>
        <v>474258226.3911482</v>
      </c>
      <c r="I19" s="44">
        <f t="shared" si="4"/>
        <v>502503660.39198947</v>
      </c>
      <c r="J19" s="44">
        <f t="shared" si="4"/>
        <v>534452757.2755046</v>
      </c>
      <c r="K19" s="44">
        <f t="shared" si="4"/>
        <v>552352041.7193972</v>
      </c>
    </row>
    <row r="20" spans="1:6" ht="12.75">
      <c r="A20" s="43"/>
      <c r="B20" s="47"/>
      <c r="C20" s="47"/>
      <c r="D20" s="47"/>
      <c r="E20" s="47"/>
      <c r="F20" s="1"/>
    </row>
    <row r="21" spans="1:11" ht="12.75">
      <c r="A21" s="43" t="s">
        <v>96</v>
      </c>
      <c r="B21" s="44">
        <f>B19/B17/12</f>
        <v>854.2058579556707</v>
      </c>
      <c r="C21" s="44">
        <f>C19/C17/12</f>
        <v>818.2469601725284</v>
      </c>
      <c r="D21" s="44">
        <f>D19/D17/12</f>
        <v>806.709917790368</v>
      </c>
      <c r="E21" s="44">
        <f>E19/E17/12</f>
        <v>836.0674355175153</v>
      </c>
      <c r="F21" s="44">
        <f aca="true" t="shared" si="5" ref="F21:K21">E21*(1+F22)</f>
        <v>868.1083432259709</v>
      </c>
      <c r="G21" s="44">
        <f t="shared" si="5"/>
        <v>911.1633129592082</v>
      </c>
      <c r="H21" s="44">
        <f t="shared" si="5"/>
        <v>959.2246745218916</v>
      </c>
      <c r="I21" s="44">
        <f t="shared" si="5"/>
        <v>1012.2924279140213</v>
      </c>
      <c r="J21" s="44">
        <f t="shared" si="5"/>
        <v>1072.3691298673757</v>
      </c>
      <c r="K21" s="44">
        <f t="shared" si="5"/>
        <v>1112.178624958575</v>
      </c>
    </row>
    <row r="22" spans="1:11" ht="12.75">
      <c r="A22" s="43" t="s">
        <v>97</v>
      </c>
      <c r="B22" s="45"/>
      <c r="C22" s="45">
        <f>(C21-B21)/B21</f>
        <v>-0.04209629031250267</v>
      </c>
      <c r="D22" s="45">
        <f>(D21-C21)/C21</f>
        <v>-0.014099706987885166</v>
      </c>
      <c r="E22" s="45">
        <f>(E21-D21)/D21</f>
        <v>0.036391665801704144</v>
      </c>
      <c r="F22" s="46">
        <f>F12</f>
        <v>0.038323353293413076</v>
      </c>
      <c r="G22" s="46">
        <f>G12</f>
        <v>0.049596309111880066</v>
      </c>
      <c r="H22" s="46">
        <f>H12</f>
        <v>0.05274725274725278</v>
      </c>
      <c r="I22" s="46">
        <f>I12</f>
        <v>0.055323590814196244</v>
      </c>
      <c r="J22" s="46">
        <f>J12</f>
        <v>0.05934718100890213</v>
      </c>
      <c r="K22" s="46">
        <f>K12</f>
        <v>0.03712294021007745</v>
      </c>
    </row>
    <row r="23" spans="1:6" ht="12.75">
      <c r="A23" s="43"/>
      <c r="B23" s="47"/>
      <c r="C23" s="47"/>
      <c r="D23" s="48"/>
      <c r="E23" s="47"/>
      <c r="F23" s="1"/>
    </row>
    <row r="24" spans="1:11" ht="12.75">
      <c r="A24" s="43" t="s">
        <v>98</v>
      </c>
      <c r="B24" s="52">
        <f>874597662/15.6466</f>
        <v>55896978.385080464</v>
      </c>
      <c r="C24" s="52">
        <f>765875357/15.6466</f>
        <v>48948356.63978117</v>
      </c>
      <c r="D24" s="52">
        <v>44993378</v>
      </c>
      <c r="E24" s="51">
        <v>47002232</v>
      </c>
      <c r="F24" s="53">
        <v>47592000</v>
      </c>
      <c r="G24" s="44">
        <f>G19*G26</f>
        <v>51051613.59480074</v>
      </c>
      <c r="H24" s="44">
        <f>H19*H26</f>
        <v>54065437.8085909</v>
      </c>
      <c r="I24" s="44">
        <f>I19*I26</f>
        <v>57285417.284686804</v>
      </c>
      <c r="J24" s="44">
        <f>J19*J26</f>
        <v>60927614.32940753</v>
      </c>
      <c r="K24" s="44">
        <f>K19*K26</f>
        <v>62968132.756011285</v>
      </c>
    </row>
    <row r="25" spans="1:11" ht="12.75">
      <c r="A25" s="43" t="s">
        <v>99</v>
      </c>
      <c r="B25" s="49"/>
      <c r="C25" s="49">
        <f aca="true" t="shared" si="6" ref="C25:K25">(C24-B24)/B24</f>
        <v>-0.1243112230043898</v>
      </c>
      <c r="D25" s="49">
        <f t="shared" si="6"/>
        <v>-0.08079900759256319</v>
      </c>
      <c r="E25" s="49">
        <f t="shared" si="6"/>
        <v>0.0446477701674233</v>
      </c>
      <c r="F25" s="49">
        <f t="shared" si="6"/>
        <v>0.012547659438811332</v>
      </c>
      <c r="G25" s="49">
        <f t="shared" si="6"/>
        <v>0.0726931752143373</v>
      </c>
      <c r="H25" s="49">
        <f t="shared" si="6"/>
        <v>0.059034847315719195</v>
      </c>
      <c r="I25" s="49">
        <f t="shared" si="6"/>
        <v>0.05955707761945209</v>
      </c>
      <c r="J25" s="49">
        <f t="shared" si="6"/>
        <v>0.06357982916700049</v>
      </c>
      <c r="K25" s="49">
        <f t="shared" si="6"/>
        <v>0.03349086369230895</v>
      </c>
    </row>
    <row r="26" spans="1:11" ht="12.75">
      <c r="A26" s="43" t="s">
        <v>100</v>
      </c>
      <c r="B26" s="45">
        <f>B24/B19</f>
        <v>0.12101043814395243</v>
      </c>
      <c r="C26" s="45">
        <f>C24/C19</f>
        <v>0.11808914059752457</v>
      </c>
      <c r="D26" s="45">
        <f>D24/D19</f>
        <v>0.11523133369323821</v>
      </c>
      <c r="E26" s="45">
        <v>0.114</v>
      </c>
      <c r="F26" s="46">
        <v>0.114</v>
      </c>
      <c r="G26" s="46">
        <v>0.114</v>
      </c>
      <c r="H26" s="46">
        <v>0.114</v>
      </c>
      <c r="I26" s="46">
        <v>0.114</v>
      </c>
      <c r="J26" s="46">
        <v>0.114</v>
      </c>
      <c r="K26" s="46">
        <v>0.114</v>
      </c>
    </row>
    <row r="27" spans="1:10" ht="12.75">
      <c r="A27" s="43" t="s">
        <v>131</v>
      </c>
      <c r="F27" s="156">
        <v>0.053</v>
      </c>
      <c r="G27" s="156">
        <v>0.084</v>
      </c>
      <c r="H27" s="156">
        <v>0.062</v>
      </c>
      <c r="I27" s="156">
        <v>0.063</v>
      </c>
      <c r="J27" s="156">
        <v>0.068</v>
      </c>
    </row>
    <row r="30" ht="12.75">
      <c r="A30" t="s">
        <v>137</v>
      </c>
    </row>
    <row r="31" spans="1:11" ht="13.5" thickBot="1">
      <c r="A31" s="50" t="s">
        <v>101</v>
      </c>
      <c r="B31" s="41">
        <v>2008</v>
      </c>
      <c r="C31" s="41">
        <v>2009</v>
      </c>
      <c r="D31" s="41">
        <v>2010</v>
      </c>
      <c r="E31" s="41">
        <v>2011</v>
      </c>
      <c r="F31" s="41">
        <v>2012</v>
      </c>
      <c r="G31" s="41">
        <v>2013</v>
      </c>
      <c r="H31" s="41">
        <v>2014</v>
      </c>
      <c r="I31" s="41">
        <v>2015</v>
      </c>
      <c r="J31" s="41">
        <v>2016</v>
      </c>
      <c r="K31" s="41">
        <v>2017</v>
      </c>
    </row>
    <row r="32" spans="1:11" ht="12.75">
      <c r="A32" s="43" t="s">
        <v>93</v>
      </c>
      <c r="B32" s="47">
        <f>B17</f>
        <v>45063.166666666664</v>
      </c>
      <c r="C32" s="47">
        <f>C17</f>
        <v>42214.583333333336</v>
      </c>
      <c r="D32" s="47">
        <f>D17</f>
        <v>40334.75</v>
      </c>
      <c r="E32" s="47">
        <f>E17</f>
        <v>40269.333333333336</v>
      </c>
      <c r="F32" s="52">
        <f>E32*(1+F33)</f>
        <v>40533.78470968095</v>
      </c>
      <c r="G32" s="52">
        <f>F32*(1+G33)</f>
        <v>40956.90691183713</v>
      </c>
      <c r="H32" s="52">
        <f>G32*(1+H33)</f>
        <v>41201.52443495869</v>
      </c>
      <c r="I32" s="52">
        <f>H32*(1+I33)</f>
        <v>41366.80654517595</v>
      </c>
      <c r="J32" s="52">
        <f>I32*(1+J33)</f>
        <v>41532.08865539321</v>
      </c>
      <c r="K32" s="52">
        <f>J32*(1+K33)</f>
        <v>41386.640398402014</v>
      </c>
    </row>
    <row r="33" spans="1:11" ht="12.75">
      <c r="A33" s="43" t="s">
        <v>94</v>
      </c>
      <c r="B33" s="158"/>
      <c r="C33" s="158">
        <f aca="true" t="shared" si="7" ref="C33:K33">C18</f>
        <v>-0.06321311936208053</v>
      </c>
      <c r="D33" s="158">
        <f t="shared" si="7"/>
        <v>-0.04453042491240197</v>
      </c>
      <c r="E33" s="158">
        <f t="shared" si="7"/>
        <v>-0.0016218438608560668</v>
      </c>
      <c r="F33" s="157">
        <f t="shared" si="7"/>
        <v>0.006567066163191582</v>
      </c>
      <c r="G33" s="157">
        <f t="shared" si="7"/>
        <v>0.010438753873756257</v>
      </c>
      <c r="H33" s="157">
        <f t="shared" si="7"/>
        <v>0.005972558514931503</v>
      </c>
      <c r="I33" s="157">
        <f t="shared" si="7"/>
        <v>0.004011553273427504</v>
      </c>
      <c r="J33" s="157">
        <f t="shared" si="7"/>
        <v>0.003995525011986523</v>
      </c>
      <c r="K33" s="157">
        <f t="shared" si="7"/>
        <v>-0.003502069404648256</v>
      </c>
    </row>
    <row r="34" spans="1:11" ht="12.75">
      <c r="A34" s="43" t="s">
        <v>95</v>
      </c>
      <c r="B34" s="47">
        <f>B19</f>
        <v>461918651.3363926</v>
      </c>
      <c r="C34" s="47">
        <f>C19</f>
        <v>414503453.8493986</v>
      </c>
      <c r="D34" s="47">
        <f>D19</f>
        <v>390461314.27914053</v>
      </c>
      <c r="E34" s="47">
        <f>E19</f>
        <v>404014539</v>
      </c>
      <c r="F34" s="52">
        <f>F32*F36*12</f>
        <v>422252600.2679918</v>
      </c>
      <c r="G34" s="52">
        <f>G32*G36*12</f>
        <v>437240781.5594801</v>
      </c>
      <c r="H34" s="52">
        <f>H32*H36*12</f>
        <v>451452726.02575403</v>
      </c>
      <c r="I34" s="52">
        <f>I32*I36*12</f>
        <v>478339931.0711831</v>
      </c>
      <c r="J34" s="52">
        <f>J32*J36*12</f>
        <v>508752702.17244375</v>
      </c>
      <c r="K34" s="52">
        <f>K32*K36*12</f>
        <v>525791269.5739948</v>
      </c>
    </row>
    <row r="35" spans="1:11" ht="12.75">
      <c r="A35" s="43"/>
      <c r="B35" s="47"/>
      <c r="C35" s="47"/>
      <c r="D35" s="47"/>
      <c r="E35" s="47"/>
      <c r="F35" s="52"/>
      <c r="G35" s="52"/>
      <c r="H35" s="52"/>
      <c r="I35" s="52"/>
      <c r="J35" s="52"/>
      <c r="K35" s="52"/>
    </row>
    <row r="36" spans="1:11" ht="12.75">
      <c r="A36" s="43" t="s">
        <v>96</v>
      </c>
      <c r="B36" s="47">
        <f>B21</f>
        <v>854.2058579556707</v>
      </c>
      <c r="C36" s="47">
        <f>C21</f>
        <v>818.2469601725284</v>
      </c>
      <c r="D36" s="47">
        <f>D21</f>
        <v>806.709917790368</v>
      </c>
      <c r="E36" s="47">
        <f>E21</f>
        <v>836.0674355175153</v>
      </c>
      <c r="F36" s="52">
        <f>E36*(1+F37)</f>
        <v>868.1083432259709</v>
      </c>
      <c r="G36" s="52">
        <f>F36*(1+G37)</f>
        <v>889.6358280925897</v>
      </c>
      <c r="H36" s="52">
        <f>G36*(1+H37)</f>
        <v>913.0987510312953</v>
      </c>
      <c r="I36" s="52">
        <f>H36*(1+I37)</f>
        <v>963.6146527063042</v>
      </c>
      <c r="J36" s="52">
        <f>I36*(1+J37)</f>
        <v>1020.8024659232956</v>
      </c>
      <c r="K36" s="52">
        <f>J36*(1+K37)</f>
        <v>1058.6976548320656</v>
      </c>
    </row>
    <row r="37" spans="1:11" ht="12.75">
      <c r="A37" s="43" t="s">
        <v>97</v>
      </c>
      <c r="B37" s="158"/>
      <c r="C37" s="158">
        <f aca="true" t="shared" si="8" ref="C37:K37">C22</f>
        <v>-0.04209629031250267</v>
      </c>
      <c r="D37" s="158">
        <f t="shared" si="8"/>
        <v>-0.014099706987885166</v>
      </c>
      <c r="E37" s="158">
        <f t="shared" si="8"/>
        <v>0.036391665801704144</v>
      </c>
      <c r="F37" s="157">
        <f t="shared" si="8"/>
        <v>0.038323353293413076</v>
      </c>
      <c r="G37" s="157">
        <f>G22/2</f>
        <v>0.024798154555940033</v>
      </c>
      <c r="H37" s="157">
        <f>H22/2</f>
        <v>0.02637362637362639</v>
      </c>
      <c r="I37" s="157">
        <f>I22</f>
        <v>0.055323590814196244</v>
      </c>
      <c r="J37" s="157">
        <f>J22</f>
        <v>0.05934718100890213</v>
      </c>
      <c r="K37" s="157">
        <f t="shared" si="8"/>
        <v>0.03712294021007745</v>
      </c>
    </row>
    <row r="38" spans="1:11" ht="12.75">
      <c r="A38" s="43"/>
      <c r="B38" s="47"/>
      <c r="C38" s="47"/>
      <c r="D38" s="47"/>
      <c r="E38" s="47"/>
      <c r="F38" s="52"/>
      <c r="G38" s="52"/>
      <c r="H38" s="52"/>
      <c r="I38" s="52"/>
      <c r="J38" s="52"/>
      <c r="K38" s="52"/>
    </row>
    <row r="39" spans="1:11" ht="12.75">
      <c r="A39" s="43" t="s">
        <v>98</v>
      </c>
      <c r="B39" s="47">
        <f>B24</f>
        <v>55896978.385080464</v>
      </c>
      <c r="C39" s="47">
        <f>C24</f>
        <v>48948356.63978117</v>
      </c>
      <c r="D39" s="47">
        <f>D24</f>
        <v>44993378</v>
      </c>
      <c r="E39" s="47">
        <f>E24</f>
        <v>47002232</v>
      </c>
      <c r="F39" s="52">
        <f>F24</f>
        <v>47592000</v>
      </c>
      <c r="G39" s="52">
        <f>G34*G41</f>
        <v>49845449.09778073</v>
      </c>
      <c r="H39" s="52">
        <f>H34*H41</f>
        <v>51465610.76693596</v>
      </c>
      <c r="I39" s="52">
        <f>I34*I41</f>
        <v>54530752.14211487</v>
      </c>
      <c r="J39" s="52">
        <f>J34*J41</f>
        <v>57997808.04765859</v>
      </c>
      <c r="K39" s="52">
        <f>K34*K41</f>
        <v>59940204.73143541</v>
      </c>
    </row>
    <row r="40" spans="1:11" ht="12.75">
      <c r="A40" s="43" t="s">
        <v>99</v>
      </c>
      <c r="B40" s="158"/>
      <c r="C40" s="158">
        <f aca="true" t="shared" si="9" ref="C40:K40">C25</f>
        <v>-0.1243112230043898</v>
      </c>
      <c r="D40" s="158">
        <f t="shared" si="9"/>
        <v>-0.08079900759256319</v>
      </c>
      <c r="E40" s="158">
        <f t="shared" si="9"/>
        <v>0.0446477701674233</v>
      </c>
      <c r="F40" s="157">
        <f t="shared" si="9"/>
        <v>0.012547659438811332</v>
      </c>
      <c r="G40" s="157">
        <f t="shared" si="9"/>
        <v>0.0726931752143373</v>
      </c>
      <c r="H40" s="157">
        <f t="shared" si="9"/>
        <v>0.059034847315719195</v>
      </c>
      <c r="I40" s="157">
        <f t="shared" si="9"/>
        <v>0.05955707761945209</v>
      </c>
      <c r="J40" s="157">
        <f t="shared" si="9"/>
        <v>0.06357982916700049</v>
      </c>
      <c r="K40" s="157">
        <f t="shared" si="9"/>
        <v>0.03349086369230895</v>
      </c>
    </row>
    <row r="41" spans="1:11" ht="12.75">
      <c r="A41" s="43" t="s">
        <v>100</v>
      </c>
      <c r="B41" s="158">
        <f aca="true" t="shared" si="10" ref="B41:K41">B26</f>
        <v>0.12101043814395243</v>
      </c>
      <c r="C41" s="158">
        <f t="shared" si="10"/>
        <v>0.11808914059752457</v>
      </c>
      <c r="D41" s="158">
        <f t="shared" si="10"/>
        <v>0.11523133369323821</v>
      </c>
      <c r="E41" s="158">
        <f t="shared" si="10"/>
        <v>0.114</v>
      </c>
      <c r="F41" s="157">
        <f t="shared" si="10"/>
        <v>0.114</v>
      </c>
      <c r="G41" s="157">
        <f t="shared" si="10"/>
        <v>0.114</v>
      </c>
      <c r="H41" s="157">
        <f t="shared" si="10"/>
        <v>0.114</v>
      </c>
      <c r="I41" s="157">
        <f t="shared" si="10"/>
        <v>0.114</v>
      </c>
      <c r="J41" s="157">
        <f t="shared" si="10"/>
        <v>0.114</v>
      </c>
      <c r="K41" s="157">
        <f t="shared" si="10"/>
        <v>0.114</v>
      </c>
    </row>
    <row r="43" spans="7:11" ht="12.75">
      <c r="G43" s="2">
        <f>G39-G24</f>
        <v>-1206164.4970200136</v>
      </c>
      <c r="H43" s="2">
        <f>H39-H24</f>
        <v>-2599827.041654937</v>
      </c>
      <c r="I43" s="2">
        <f>I39-I24</f>
        <v>-2754665.1425719336</v>
      </c>
      <c r="J43" s="2">
        <f>J39-J24</f>
        <v>-2929806.2817489356</v>
      </c>
      <c r="K43" s="2">
        <f>K39-K24</f>
        <v>-3027928.024575874</v>
      </c>
    </row>
    <row r="44" spans="1:11" ht="12.75">
      <c r="A44" s="43" t="s">
        <v>132</v>
      </c>
      <c r="G44" s="2">
        <f>'2.2  detailne strateegia'!F5+'2.1makronäitajad'!G43</f>
        <v>94572731.26297998</v>
      </c>
      <c r="H44" s="2">
        <f>'2.2  detailne strateegia'!G5+'2.1makronäitajad'!H43</f>
        <v>96751364.57286507</v>
      </c>
      <c r="I44" s="2">
        <f>'2.2  detailne strateegia'!H5+'2.1makronäitajad'!I43</f>
        <v>100390056.06654012</v>
      </c>
      <c r="J44" s="2">
        <f>'2.2  detailne strateegia'!I5+'2.1makronäitajad'!J43</f>
        <v>104446148.38800912</v>
      </c>
      <c r="K44" s="2">
        <f>'2.2  detailne strateegia'!J5+'2.1makronäitajad'!K43</f>
        <v>106980042.96926379</v>
      </c>
    </row>
    <row r="45" spans="1:11" ht="12.75">
      <c r="A45" s="43" t="s">
        <v>8</v>
      </c>
      <c r="G45" s="2">
        <f>'2.2  detailne strateegia'!F36+'2.1makronäitajad'!G44</f>
        <v>4755110.0429799855</v>
      </c>
      <c r="H45" s="2">
        <f>'2.2  detailne strateegia'!G36+'2.1makronäitajad'!H44</f>
        <v>4508667.57992509</v>
      </c>
      <c r="I45" s="2">
        <f>'2.2  detailne strateegia'!H36+'2.1makronäitajad'!I44</f>
        <v>5656806.254790768</v>
      </c>
      <c r="J45" s="2">
        <f>'2.2  detailne strateegia'!I36+'2.1makronäitajad'!J44</f>
        <v>7155100.831342518</v>
      </c>
      <c r="K45" s="2">
        <f>'2.2  detailne strateegia'!J36+'2.1makronäitajad'!K44</f>
        <v>7120511.757101208</v>
      </c>
    </row>
    <row r="46" spans="1:11" ht="12.75">
      <c r="A46" s="43" t="s">
        <v>3</v>
      </c>
      <c r="G46" s="2">
        <f>G45+'2.2  detailne strateegia'!F43</f>
        <v>-3053242.157020014</v>
      </c>
      <c r="H46" s="2">
        <f>H45+'2.2  detailne strateegia'!G43</f>
        <v>-3142172.4060749114</v>
      </c>
      <c r="I46" s="2">
        <f>I45+'2.2  detailne strateegia'!H43</f>
        <v>-2031473.8219592292</v>
      </c>
      <c r="J46" s="2">
        <f>J45+'2.2  detailne strateegia'!I43</f>
        <v>-1120056.476057481</v>
      </c>
      <c r="K46" s="2">
        <f>K45+'2.2  detailne strateegia'!J43</f>
        <v>-1175723.3083987907</v>
      </c>
    </row>
    <row r="47" ht="12.75">
      <c r="A47" s="43" t="s">
        <v>116</v>
      </c>
    </row>
    <row r="48" spans="1:11" ht="12.75">
      <c r="A48" s="43" t="s">
        <v>118</v>
      </c>
      <c r="G48" s="2">
        <f>'2.2  detailne strateegia'!E68-'2.1makronäitajad'!G46</f>
        <v>50966070.27469529</v>
      </c>
      <c r="H48" s="2">
        <f>'2.2  detailne strateegia'!F68-'2.1makronäitajad'!H46</f>
        <v>52902078.375648364</v>
      </c>
      <c r="I48" s="2">
        <f>'2.2  detailne strateegia'!G68-'2.1makronäitajad'!I46</f>
        <v>52333725.15595266</v>
      </c>
      <c r="J48" s="2">
        <f>'2.2  detailne strateegia'!H68-'2.1makronäitajad'!J46</f>
        <v>50855144.41005091</v>
      </c>
      <c r="K48" s="2">
        <f>'2.2  detailne strateegia'!I68-'2.1makronäitajad'!K46</f>
        <v>50331652.66239222</v>
      </c>
    </row>
    <row r="49" spans="1:11" ht="12.75">
      <c r="A49" s="43" t="s">
        <v>136</v>
      </c>
      <c r="G49" s="156">
        <f>(G48-'2.2  detailne strateegia'!F67)/'2.1makronäitajad'!G44</f>
        <v>0.5345075812839996</v>
      </c>
      <c r="H49" s="156">
        <f>(H48-'2.2  detailne strateegia'!G67)/'2.1makronäitajad'!H44</f>
        <v>0.5424817538797835</v>
      </c>
      <c r="I49" s="156">
        <f>(I48-'2.2  detailne strateegia'!H67)/'2.1makronäitajad'!I44</f>
        <v>0.5156035451273527</v>
      </c>
      <c r="J49" s="156">
        <f>(J48-'2.2  detailne strateegia'!I67)/'2.1makronäitajad'!J44</f>
        <v>0.4696419886123825</v>
      </c>
      <c r="K49" s="156">
        <f>(K48-'2.2  detailne strateegia'!J67)/'2.1makronäitajad'!K44</f>
        <v>0.4418421546305919</v>
      </c>
    </row>
    <row r="50" spans="7:11" ht="12.75">
      <c r="G50" s="156">
        <f>G48/G44</f>
        <v>0.5389087276434164</v>
      </c>
      <c r="H50" s="156">
        <f>H48/H44</f>
        <v>0.5467837958585786</v>
      </c>
      <c r="I50" s="156">
        <f>I48/I44</f>
        <v>0.5213038741732053</v>
      </c>
      <c r="J50" s="156">
        <f>J48/J44</f>
        <v>0.4869030136097322</v>
      </c>
      <c r="K50" s="156">
        <f>K48/K44</f>
        <v>0.47047702791494395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34"/>
  <sheetViews>
    <sheetView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92" sqref="A92"/>
      <selection pane="bottomRight" activeCell="A1" sqref="A1:J1"/>
    </sheetView>
  </sheetViews>
  <sheetFormatPr defaultColWidth="9.140625" defaultRowHeight="12.75"/>
  <cols>
    <col min="1" max="1" width="48.00390625" style="5" customWidth="1"/>
    <col min="2" max="2" width="14.7109375" style="79" customWidth="1"/>
    <col min="3" max="3" width="16.00390625" style="79" customWidth="1"/>
    <col min="4" max="4" width="14.57421875" style="79" customWidth="1"/>
    <col min="5" max="5" width="13.7109375" style="79" customWidth="1"/>
    <col min="6" max="8" width="14.57421875" style="79" customWidth="1"/>
    <col min="9" max="10" width="14.140625" style="79" customWidth="1"/>
    <col min="11" max="11" width="17.57421875" style="5" customWidth="1"/>
    <col min="12" max="12" width="15.00390625" style="5" customWidth="1"/>
    <col min="13" max="13" width="11.57421875" style="5" customWidth="1"/>
    <col min="14" max="16" width="10.7109375" style="5" customWidth="1"/>
    <col min="17" max="22" width="9.140625" style="5" customWidth="1"/>
    <col min="23" max="23" width="11.140625" style="5" bestFit="1" customWidth="1"/>
    <col min="24" max="27" width="9.140625" style="5" customWidth="1"/>
    <col min="28" max="28" width="10.140625" style="5" bestFit="1" customWidth="1"/>
    <col min="29" max="29" width="10.140625" style="5" customWidth="1"/>
    <col min="30" max="16384" width="9.140625" style="5" customWidth="1"/>
  </cols>
  <sheetData>
    <row r="1" spans="1:10" ht="15.75">
      <c r="A1" s="226" t="s">
        <v>160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2.75">
      <c r="J2" s="224"/>
    </row>
    <row r="3" ht="13.5" thickBot="1">
      <c r="J3" s="224"/>
    </row>
    <row r="4" spans="1:11" ht="40.5" customHeight="1">
      <c r="A4" s="58" t="s">
        <v>155</v>
      </c>
      <c r="B4" s="94" t="s">
        <v>30</v>
      </c>
      <c r="C4" s="94" t="s">
        <v>78</v>
      </c>
      <c r="D4" s="94" t="s">
        <v>79</v>
      </c>
      <c r="E4" s="94" t="s">
        <v>158</v>
      </c>
      <c r="F4" s="94">
        <v>2013</v>
      </c>
      <c r="G4" s="94">
        <v>2014</v>
      </c>
      <c r="H4" s="94">
        <v>2015</v>
      </c>
      <c r="I4" s="94">
        <v>2016</v>
      </c>
      <c r="J4" s="95">
        <v>2017</v>
      </c>
      <c r="K4" s="54"/>
    </row>
    <row r="5" spans="1:11" ht="15" customHeight="1">
      <c r="A5" s="96" t="s">
        <v>0</v>
      </c>
      <c r="B5" s="90">
        <f aca="true" t="shared" si="0" ref="B5:J5">B6+B13+B26+B31</f>
        <v>84310112.08818533</v>
      </c>
      <c r="C5" s="90">
        <f t="shared" si="0"/>
        <v>91912438.16</v>
      </c>
      <c r="D5" s="90">
        <f t="shared" si="0"/>
        <v>90368614.7</v>
      </c>
      <c r="E5" s="90">
        <f t="shared" si="0"/>
        <v>91716831</v>
      </c>
      <c r="F5" s="90">
        <f t="shared" si="0"/>
        <v>95778895.76</v>
      </c>
      <c r="G5" s="90">
        <f t="shared" si="0"/>
        <v>99351191.61452</v>
      </c>
      <c r="H5" s="90">
        <f t="shared" si="0"/>
        <v>103144721.20911205</v>
      </c>
      <c r="I5" s="90">
        <f t="shared" si="0"/>
        <v>107375954.66975805</v>
      </c>
      <c r="J5" s="97">
        <f t="shared" si="0"/>
        <v>110007970.99383967</v>
      </c>
      <c r="K5" s="55"/>
    </row>
    <row r="6" spans="1:11" ht="15">
      <c r="A6" s="98" t="s">
        <v>31</v>
      </c>
      <c r="B6" s="91">
        <f>SUM(B7:B9)</f>
        <v>46577468.19245049</v>
      </c>
      <c r="C6" s="92">
        <f aca="true" t="shared" si="1" ref="C6:J6">SUM(C7:C9)</f>
        <v>48627321.3</v>
      </c>
      <c r="D6" s="92">
        <f t="shared" si="1"/>
        <v>49061472</v>
      </c>
      <c r="E6" s="92">
        <f t="shared" si="1"/>
        <v>49134100</v>
      </c>
      <c r="F6" s="92">
        <f t="shared" si="1"/>
        <v>52593714</v>
      </c>
      <c r="G6" s="92">
        <f t="shared" si="1"/>
        <v>55607538</v>
      </c>
      <c r="H6" s="92">
        <f t="shared" si="1"/>
        <v>58827517</v>
      </c>
      <c r="I6" s="92">
        <f t="shared" si="1"/>
        <v>62469714</v>
      </c>
      <c r="J6" s="99">
        <f t="shared" si="1"/>
        <v>64510233</v>
      </c>
      <c r="K6" s="54"/>
    </row>
    <row r="7" spans="1:29" ht="12.75">
      <c r="A7" s="59" t="s">
        <v>32</v>
      </c>
      <c r="B7" s="69">
        <v>44993377.6667135</v>
      </c>
      <c r="C7" s="80">
        <v>47002232</v>
      </c>
      <c r="D7" s="74">
        <v>47592000</v>
      </c>
      <c r="E7" s="74">
        <v>47592000</v>
      </c>
      <c r="F7" s="74">
        <f>ROUND('2.1makronäitajad'!G24,0)</f>
        <v>51051614</v>
      </c>
      <c r="G7" s="74">
        <f>ROUND('2.1makronäitajad'!H24,0)</f>
        <v>54065438</v>
      </c>
      <c r="H7" s="74">
        <f>ROUND('2.1makronäitajad'!I24,0)</f>
        <v>57285417</v>
      </c>
      <c r="I7" s="74">
        <f>ROUND('2.1makronäitajad'!J24,0)</f>
        <v>60927614</v>
      </c>
      <c r="J7" s="100">
        <f>ROUND('2.1makronäitajad'!K24,0)</f>
        <v>62968133</v>
      </c>
      <c r="K7" s="54"/>
      <c r="L7" s="6"/>
      <c r="M7" s="6"/>
      <c r="N7" s="6"/>
      <c r="O7" s="6"/>
      <c r="P7" s="6"/>
      <c r="S7" s="6"/>
      <c r="T7" s="6"/>
      <c r="U7" s="6"/>
      <c r="V7" s="6"/>
      <c r="W7" s="6"/>
      <c r="AB7" s="6"/>
      <c r="AC7" s="6"/>
    </row>
    <row r="8" spans="1:29" ht="12.75">
      <c r="A8" s="59" t="s">
        <v>33</v>
      </c>
      <c r="B8" s="69">
        <v>939521.749133997</v>
      </c>
      <c r="C8" s="71">
        <v>899722</v>
      </c>
      <c r="D8" s="74">
        <v>777372</v>
      </c>
      <c r="E8" s="74">
        <v>850000</v>
      </c>
      <c r="F8" s="74">
        <f>E8</f>
        <v>850000</v>
      </c>
      <c r="G8" s="74">
        <f>F8</f>
        <v>850000</v>
      </c>
      <c r="H8" s="74">
        <f>G8</f>
        <v>850000</v>
      </c>
      <c r="I8" s="74">
        <f>H8</f>
        <v>850000</v>
      </c>
      <c r="J8" s="100">
        <f>I8</f>
        <v>850000</v>
      </c>
      <c r="K8" s="54"/>
      <c r="L8" s="6"/>
      <c r="M8" s="6"/>
      <c r="N8" s="6"/>
      <c r="O8" s="6"/>
      <c r="P8" s="6"/>
      <c r="S8" s="6"/>
      <c r="T8" s="6"/>
      <c r="U8" s="6"/>
      <c r="V8" s="6"/>
      <c r="W8" s="6"/>
      <c r="AB8" s="6"/>
      <c r="AC8" s="6"/>
    </row>
    <row r="9" spans="1:29" ht="12.75">
      <c r="A9" s="59" t="s">
        <v>34</v>
      </c>
      <c r="B9" s="70">
        <f aca="true" t="shared" si="2" ref="B9:J9">B10+B11+B12</f>
        <v>644568.776603</v>
      </c>
      <c r="C9" s="77">
        <f t="shared" si="2"/>
        <v>725367.2999999999</v>
      </c>
      <c r="D9" s="77">
        <f t="shared" si="2"/>
        <v>692100</v>
      </c>
      <c r="E9" s="77">
        <f t="shared" si="2"/>
        <v>692100</v>
      </c>
      <c r="F9" s="77">
        <f t="shared" si="2"/>
        <v>692100</v>
      </c>
      <c r="G9" s="77">
        <f t="shared" si="2"/>
        <v>692100</v>
      </c>
      <c r="H9" s="77">
        <f t="shared" si="2"/>
        <v>692100</v>
      </c>
      <c r="I9" s="77">
        <f t="shared" si="2"/>
        <v>692100</v>
      </c>
      <c r="J9" s="101">
        <f t="shared" si="2"/>
        <v>692100</v>
      </c>
      <c r="K9" s="54"/>
      <c r="L9" s="6"/>
      <c r="M9" s="6"/>
      <c r="N9" s="6"/>
      <c r="O9" s="6"/>
      <c r="P9" s="6"/>
      <c r="S9" s="6"/>
      <c r="T9" s="6"/>
      <c r="U9" s="6"/>
      <c r="V9" s="6"/>
      <c r="W9" s="6"/>
      <c r="AB9" s="6"/>
      <c r="AC9" s="6"/>
    </row>
    <row r="10" spans="1:29" ht="12.75">
      <c r="A10" s="60" t="s">
        <v>35</v>
      </c>
      <c r="B10" s="71">
        <v>256280.574694</v>
      </c>
      <c r="C10" s="81">
        <v>292489.11</v>
      </c>
      <c r="D10" s="71">
        <v>274600</v>
      </c>
      <c r="E10" s="74">
        <v>274600</v>
      </c>
      <c r="F10" s="71">
        <f>E10</f>
        <v>274600</v>
      </c>
      <c r="G10" s="71">
        <f aca="true" t="shared" si="3" ref="G10:J12">F10</f>
        <v>274600</v>
      </c>
      <c r="H10" s="71">
        <f t="shared" si="3"/>
        <v>274600</v>
      </c>
      <c r="I10" s="71">
        <f t="shared" si="3"/>
        <v>274600</v>
      </c>
      <c r="J10" s="102">
        <f t="shared" si="3"/>
        <v>274600</v>
      </c>
      <c r="K10" s="54"/>
      <c r="L10" s="6"/>
      <c r="M10" s="6"/>
      <c r="N10" s="6"/>
      <c r="O10" s="6"/>
      <c r="P10" s="6"/>
      <c r="S10" s="6"/>
      <c r="T10" s="6"/>
      <c r="U10" s="6"/>
      <c r="V10" s="6"/>
      <c r="W10" s="6"/>
      <c r="AB10" s="6"/>
      <c r="AC10" s="6"/>
    </row>
    <row r="11" spans="1:29" ht="12.75">
      <c r="A11" s="60" t="s">
        <v>36</v>
      </c>
      <c r="B11" s="71">
        <v>117322.804954</v>
      </c>
      <c r="C11" s="81">
        <v>110795.22</v>
      </c>
      <c r="D11" s="71">
        <v>97500</v>
      </c>
      <c r="E11" s="74">
        <v>97500</v>
      </c>
      <c r="F11" s="71">
        <f>E11</f>
        <v>97500</v>
      </c>
      <c r="G11" s="71">
        <f t="shared" si="3"/>
        <v>97500</v>
      </c>
      <c r="H11" s="71">
        <f t="shared" si="3"/>
        <v>97500</v>
      </c>
      <c r="I11" s="71">
        <f t="shared" si="3"/>
        <v>97500</v>
      </c>
      <c r="J11" s="102">
        <f t="shared" si="3"/>
        <v>97500</v>
      </c>
      <c r="K11" s="54"/>
      <c r="L11" s="6"/>
      <c r="M11" s="6"/>
      <c r="N11" s="6"/>
      <c r="O11" s="6"/>
      <c r="P11" s="6"/>
      <c r="S11" s="6"/>
      <c r="T11" s="6"/>
      <c r="U11" s="6"/>
      <c r="V11" s="6"/>
      <c r="W11" s="6"/>
      <c r="AB11" s="6"/>
      <c r="AC11" s="6"/>
    </row>
    <row r="12" spans="1:29" ht="12.75">
      <c r="A12" s="60" t="s">
        <v>37</v>
      </c>
      <c r="B12" s="71">
        <v>270965.396955</v>
      </c>
      <c r="C12" s="81">
        <v>322082.97</v>
      </c>
      <c r="D12" s="71">
        <v>320000</v>
      </c>
      <c r="E12" s="74">
        <v>320000</v>
      </c>
      <c r="F12" s="71">
        <f>E12</f>
        <v>320000</v>
      </c>
      <c r="G12" s="71">
        <f t="shared" si="3"/>
        <v>320000</v>
      </c>
      <c r="H12" s="71">
        <f t="shared" si="3"/>
        <v>320000</v>
      </c>
      <c r="I12" s="71">
        <f t="shared" si="3"/>
        <v>320000</v>
      </c>
      <c r="J12" s="102">
        <f t="shared" si="3"/>
        <v>320000</v>
      </c>
      <c r="K12" s="54"/>
      <c r="L12" s="6"/>
      <c r="M12" s="6"/>
      <c r="N12" s="6"/>
      <c r="O12" s="6"/>
      <c r="P12" s="6"/>
      <c r="AB12" s="6"/>
      <c r="AC12" s="6"/>
    </row>
    <row r="13" spans="1:14" ht="15">
      <c r="A13" s="98" t="s">
        <v>38</v>
      </c>
      <c r="B13" s="8">
        <f aca="true" t="shared" si="4" ref="B13:J13">SUM(B14:B15,B23:B25)</f>
        <v>8409975.446034</v>
      </c>
      <c r="C13" s="8">
        <f t="shared" si="4"/>
        <v>12304598.509999996</v>
      </c>
      <c r="D13" s="8">
        <f t="shared" si="4"/>
        <v>12510241</v>
      </c>
      <c r="E13" s="8">
        <f t="shared" si="4"/>
        <v>12565654</v>
      </c>
      <c r="F13" s="8">
        <f t="shared" si="4"/>
        <v>12942623.620000001</v>
      </c>
      <c r="G13" s="8">
        <f t="shared" si="4"/>
        <v>13292074.457739998</v>
      </c>
      <c r="H13" s="8">
        <f t="shared" si="4"/>
        <v>13650960.46809898</v>
      </c>
      <c r="I13" s="8">
        <f t="shared" si="4"/>
        <v>14019536.400737649</v>
      </c>
      <c r="J13" s="103">
        <f t="shared" si="4"/>
        <v>14389652.16171712</v>
      </c>
      <c r="K13" s="54"/>
      <c r="L13" s="6"/>
      <c r="M13" s="6"/>
      <c r="N13" s="6"/>
    </row>
    <row r="14" spans="1:11" ht="12.75">
      <c r="A14" s="61" t="s">
        <v>39</v>
      </c>
      <c r="B14" s="72">
        <v>130387.1927</v>
      </c>
      <c r="C14" s="73">
        <v>126066.51</v>
      </c>
      <c r="D14" s="71">
        <v>107900</v>
      </c>
      <c r="E14" s="74">
        <v>107900</v>
      </c>
      <c r="F14" s="71">
        <f>E14*'2.1makronäitajad'!G14</f>
        <v>111137</v>
      </c>
      <c r="G14" s="71">
        <f>F14*'2.1makronäitajad'!H14</f>
        <v>114137.699</v>
      </c>
      <c r="H14" s="71">
        <f>G14*'2.1makronäitajad'!I14</f>
        <v>117219.41687299998</v>
      </c>
      <c r="I14" s="71">
        <f>H14*'2.1makronäitajad'!J14</f>
        <v>120384.34112857097</v>
      </c>
      <c r="J14" s="71">
        <f>I14*'2.1makronäitajad'!K14</f>
        <v>123562.48773436525</v>
      </c>
      <c r="K14" s="54"/>
    </row>
    <row r="15" spans="1:11" ht="12.75">
      <c r="A15" s="61" t="s">
        <v>40</v>
      </c>
      <c r="B15" s="72">
        <f aca="true" t="shared" si="5" ref="B15:J15">SUM(B16:B22)</f>
        <v>6074512.949174</v>
      </c>
      <c r="C15" s="71">
        <f>SUM(C16:C22)</f>
        <v>9850816.749999998</v>
      </c>
      <c r="D15" s="71">
        <f t="shared" si="5"/>
        <v>10369545</v>
      </c>
      <c r="E15" s="71">
        <f t="shared" si="5"/>
        <v>10424958</v>
      </c>
      <c r="F15" s="71">
        <f t="shared" si="5"/>
        <v>10737706.74</v>
      </c>
      <c r="G15" s="71">
        <f t="shared" si="5"/>
        <v>11027624.82198</v>
      </c>
      <c r="H15" s="71">
        <f t="shared" si="5"/>
        <v>11325370.692173459</v>
      </c>
      <c r="I15" s="71">
        <f t="shared" si="5"/>
        <v>11631155.700862141</v>
      </c>
      <c r="J15" s="102">
        <f t="shared" si="5"/>
        <v>11938218.2113649</v>
      </c>
      <c r="K15" s="54"/>
    </row>
    <row r="16" spans="1:11" ht="12.75">
      <c r="A16" s="62" t="s">
        <v>41</v>
      </c>
      <c r="B16" s="72">
        <v>4881731.226</v>
      </c>
      <c r="C16" s="82">
        <v>5300420.84</v>
      </c>
      <c r="D16" s="82">
        <v>5771592</v>
      </c>
      <c r="E16" s="74">
        <v>5827005</v>
      </c>
      <c r="F16" s="71">
        <f>E16*'2.1makronäitajad'!G$14</f>
        <v>6001815.15</v>
      </c>
      <c r="G16" s="71">
        <f>F16*'2.1makronäitajad'!H$14</f>
        <v>6163864.15905</v>
      </c>
      <c r="H16" s="71">
        <f>G16*'2.1makronäitajad'!I$14</f>
        <v>6330288.491344349</v>
      </c>
      <c r="I16" s="71">
        <f>H16*'2.1makronäitajad'!J$14</f>
        <v>6501206.280610646</v>
      </c>
      <c r="J16" s="102">
        <f>I16*'2.1makronäitajad'!$K$14</f>
        <v>6672838.1264187675</v>
      </c>
      <c r="K16" s="54"/>
    </row>
    <row r="17" spans="1:11" ht="12.75">
      <c r="A17" s="62" t="s">
        <v>42</v>
      </c>
      <c r="B17" s="72">
        <v>363054.833</v>
      </c>
      <c r="C17" s="82">
        <v>380883.42</v>
      </c>
      <c r="D17" s="82">
        <v>386743</v>
      </c>
      <c r="E17" s="74">
        <v>386743</v>
      </c>
      <c r="F17" s="71">
        <f>E17*'2.1makronäitajad'!G$14</f>
        <v>398345.29000000004</v>
      </c>
      <c r="G17" s="71">
        <f>F17*'2.1makronäitajad'!H$14</f>
        <v>409100.61283</v>
      </c>
      <c r="H17" s="71">
        <f>G17*'2.1makronäitajad'!I$14</f>
        <v>420146.32937640994</v>
      </c>
      <c r="I17" s="71">
        <f>H17*'2.1makronäitajad'!J$14</f>
        <v>431490.280269573</v>
      </c>
      <c r="J17" s="102">
        <f>I17*'2.1makronäitajad'!$K$14</f>
        <v>442881.6236686897</v>
      </c>
      <c r="K17" s="54"/>
    </row>
    <row r="18" spans="1:11" ht="12.75">
      <c r="A18" s="62" t="s">
        <v>43</v>
      </c>
      <c r="B18" s="72">
        <v>28453.52984</v>
      </c>
      <c r="C18" s="82">
        <v>26150.96</v>
      </c>
      <c r="D18" s="82">
        <v>32317</v>
      </c>
      <c r="E18" s="74">
        <v>32317</v>
      </c>
      <c r="F18" s="71">
        <f>E18*'2.1makronäitajad'!G$14</f>
        <v>33286.51</v>
      </c>
      <c r="G18" s="71">
        <f>F18*'2.1makronäitajad'!H$14</f>
        <v>34185.24577</v>
      </c>
      <c r="H18" s="71">
        <f>G18*'2.1makronäitajad'!I$14</f>
        <v>35108.247405789996</v>
      </c>
      <c r="I18" s="71">
        <f>H18*'2.1makronäitajad'!J$14</f>
        <v>36056.17008574632</v>
      </c>
      <c r="J18" s="102">
        <f>I18*'2.1makronäitajad'!$K$14</f>
        <v>37008.052976010025</v>
      </c>
      <c r="K18" s="54"/>
    </row>
    <row r="19" spans="1:11" ht="12.75">
      <c r="A19" s="62" t="s">
        <v>44</v>
      </c>
      <c r="B19" s="72">
        <v>759682.0127</v>
      </c>
      <c r="C19" s="82">
        <v>771510.25</v>
      </c>
      <c r="D19" s="82">
        <v>761193</v>
      </c>
      <c r="E19" s="74">
        <v>761193</v>
      </c>
      <c r="F19" s="71">
        <f>E19*'2.1makronäitajad'!G$14</f>
        <v>784028.79</v>
      </c>
      <c r="G19" s="71">
        <f>F19*'2.1makronäitajad'!H$14</f>
        <v>805197.56733</v>
      </c>
      <c r="H19" s="71">
        <f>G19*'2.1makronäitajad'!I$14</f>
        <v>826937.9016479099</v>
      </c>
      <c r="I19" s="71">
        <f>H19*'2.1makronäitajad'!J$14</f>
        <v>849265.2249924034</v>
      </c>
      <c r="J19" s="102">
        <f>I19*'2.1makronäitajad'!$K$14</f>
        <v>871685.8269322028</v>
      </c>
      <c r="K19" s="54"/>
    </row>
    <row r="20" spans="1:11" ht="12.75">
      <c r="A20" s="62" t="s">
        <v>45</v>
      </c>
      <c r="B20" s="72">
        <v>6550.113124</v>
      </c>
      <c r="C20" s="82">
        <v>4952.31</v>
      </c>
      <c r="D20" s="82">
        <v>5000</v>
      </c>
      <c r="E20" s="74">
        <v>5000</v>
      </c>
      <c r="F20" s="71">
        <f>E20*'2.1makronäitajad'!G$14</f>
        <v>5150</v>
      </c>
      <c r="G20" s="71">
        <f>F20*'2.1makronäitajad'!H$14</f>
        <v>5289.049999999999</v>
      </c>
      <c r="H20" s="71">
        <f>G20*'2.1makronäitajad'!I$14</f>
        <v>5431.854349999999</v>
      </c>
      <c r="I20" s="71">
        <f>H20*'2.1makronäitajad'!J$14</f>
        <v>5578.514417449998</v>
      </c>
      <c r="J20" s="102">
        <f>I20*'2.1makronäitajad'!$K$14</f>
        <v>5725.787198070678</v>
      </c>
      <c r="K20" s="54"/>
    </row>
    <row r="21" spans="1:11" ht="12.75">
      <c r="A21" s="62" t="s">
        <v>46</v>
      </c>
      <c r="B21" s="72">
        <v>16143.68297</v>
      </c>
      <c r="C21" s="82">
        <v>3350631.18</v>
      </c>
      <c r="D21" s="82">
        <v>3400000</v>
      </c>
      <c r="E21" s="74">
        <v>3400000</v>
      </c>
      <c r="F21" s="71">
        <f>E21*'2.1makronäitajad'!G$14</f>
        <v>3502000</v>
      </c>
      <c r="G21" s="71">
        <f>F21*'2.1makronäitajad'!H$14</f>
        <v>3596553.9999999995</v>
      </c>
      <c r="H21" s="71">
        <f>G21*'2.1makronäitajad'!I$14</f>
        <v>3693660.957999999</v>
      </c>
      <c r="I21" s="71">
        <f>H21*'2.1makronäitajad'!J$14</f>
        <v>3793389.803865999</v>
      </c>
      <c r="J21" s="102">
        <f>I21*'2.1makronäitajad'!$K$14</f>
        <v>3893535.2946880613</v>
      </c>
      <c r="K21" s="54"/>
    </row>
    <row r="22" spans="1:24" ht="12.75">
      <c r="A22" s="62" t="s">
        <v>47</v>
      </c>
      <c r="B22" s="72">
        <v>18897.55154</v>
      </c>
      <c r="C22" s="82">
        <v>16267.79</v>
      </c>
      <c r="D22" s="82">
        <v>12700</v>
      </c>
      <c r="E22" s="74">
        <v>12700</v>
      </c>
      <c r="F22" s="71">
        <f>E22*'2.1makronäitajad'!G$14</f>
        <v>13081</v>
      </c>
      <c r="G22" s="71">
        <f>F22*'2.1makronäitajad'!H$14</f>
        <v>13434.186999999998</v>
      </c>
      <c r="H22" s="71">
        <f>G22*'2.1makronäitajad'!I$14</f>
        <v>13796.910048999996</v>
      </c>
      <c r="I22" s="71">
        <f>H22*'2.1makronäitajad'!J$14</f>
        <v>14169.426620322994</v>
      </c>
      <c r="J22" s="102">
        <f>I22*'2.1makronäitajad'!$K$14</f>
        <v>14543.499483099522</v>
      </c>
      <c r="K22" s="54"/>
      <c r="V22" s="9"/>
      <c r="W22" s="6"/>
      <c r="X22" s="10"/>
    </row>
    <row r="23" spans="1:24" ht="12.75">
      <c r="A23" s="63" t="s">
        <v>48</v>
      </c>
      <c r="B23" s="72">
        <v>2013162.525</v>
      </c>
      <c r="C23" s="82">
        <v>2136656.68</v>
      </c>
      <c r="D23" s="82">
        <v>1881916</v>
      </c>
      <c r="E23" s="74">
        <v>1881916</v>
      </c>
      <c r="F23" s="71">
        <f>E23*'2.1makronäitajad'!G$14</f>
        <v>1938373.48</v>
      </c>
      <c r="G23" s="71">
        <f>F23*'2.1makronäitajad'!H$14</f>
        <v>1990709.5639599997</v>
      </c>
      <c r="H23" s="71">
        <f>G23*'2.1makronäitajad'!I$14</f>
        <v>2044458.7221869195</v>
      </c>
      <c r="I23" s="71">
        <f>H23*'2.1makronäitajad'!J$14</f>
        <v>2099659.107685966</v>
      </c>
      <c r="J23" s="102">
        <f>I23*'2.1makronäitajad'!$K$14</f>
        <v>2155090.1081288755</v>
      </c>
      <c r="K23" s="54"/>
      <c r="V23" s="9"/>
      <c r="W23" s="6"/>
      <c r="X23" s="10"/>
    </row>
    <row r="24" spans="1:24" ht="12.75">
      <c r="A24" s="63" t="s">
        <v>49</v>
      </c>
      <c r="B24" s="72">
        <v>59144.02746</v>
      </c>
      <c r="C24" s="82">
        <v>59259.62</v>
      </c>
      <c r="D24" s="82">
        <v>62998</v>
      </c>
      <c r="E24" s="74">
        <v>62998</v>
      </c>
      <c r="F24" s="71">
        <f>E24*'2.1makronäitajad'!G$14</f>
        <v>64887.94</v>
      </c>
      <c r="G24" s="71">
        <f>F24*'2.1makronäitajad'!H$14</f>
        <v>66639.91438</v>
      </c>
      <c r="H24" s="71">
        <f>G24*'2.1makronäitajad'!I$14</f>
        <v>68439.19206826</v>
      </c>
      <c r="I24" s="71">
        <f>H24*'2.1makronäitajad'!J$14</f>
        <v>70287.05025410301</v>
      </c>
      <c r="J24" s="102">
        <f>I24*'2.1makronäitajad'!$K$14</f>
        <v>72142.62838081134</v>
      </c>
      <c r="K24" s="54"/>
      <c r="V24" s="9"/>
      <c r="W24" s="6"/>
      <c r="X24" s="10"/>
    </row>
    <row r="25" spans="1:24" ht="12.75">
      <c r="A25" s="63" t="s">
        <v>50</v>
      </c>
      <c r="B25" s="72">
        <v>132768.7517</v>
      </c>
      <c r="C25" s="73">
        <v>131798.94999999998</v>
      </c>
      <c r="D25" s="82">
        <v>87882</v>
      </c>
      <c r="E25" s="74">
        <v>87882</v>
      </c>
      <c r="F25" s="71">
        <f>E25*'2.1makronäitajad'!G$14</f>
        <v>90518.46</v>
      </c>
      <c r="G25" s="71">
        <f>F25*'2.1makronäitajad'!H$14</f>
        <v>92962.45842</v>
      </c>
      <c r="H25" s="71">
        <f>G25*'2.1makronäitajad'!I$14</f>
        <v>95472.44479733998</v>
      </c>
      <c r="I25" s="71">
        <f>H25*'2.1makronäitajad'!J$14</f>
        <v>98050.20080686815</v>
      </c>
      <c r="J25" s="102">
        <f>I25*'2.1makronäitajad'!$K$14</f>
        <v>100638.72610816946</v>
      </c>
      <c r="K25" s="54"/>
      <c r="V25" s="9"/>
      <c r="W25" s="6"/>
      <c r="X25" s="10"/>
    </row>
    <row r="26" spans="1:23" ht="15">
      <c r="A26" s="98" t="s">
        <v>51</v>
      </c>
      <c r="B26" s="93">
        <f aca="true" t="shared" si="6" ref="B26:J26">SUM(B27:B30)</f>
        <v>28738250.18693582</v>
      </c>
      <c r="C26" s="11">
        <f t="shared" si="6"/>
        <v>30429788.72</v>
      </c>
      <c r="D26" s="11">
        <f t="shared" si="6"/>
        <v>28220901.7</v>
      </c>
      <c r="E26" s="11">
        <f t="shared" si="6"/>
        <v>29559563</v>
      </c>
      <c r="F26" s="11">
        <f t="shared" si="6"/>
        <v>29785044.14</v>
      </c>
      <c r="G26" s="11">
        <f t="shared" si="6"/>
        <v>29994065.15678</v>
      </c>
      <c r="H26" s="11">
        <f t="shared" si="6"/>
        <v>30208729.741013058</v>
      </c>
      <c r="I26" s="11">
        <f t="shared" si="6"/>
        <v>30429190.269020412</v>
      </c>
      <c r="J26" s="104">
        <f t="shared" si="6"/>
        <v>30650571.83212255</v>
      </c>
      <c r="K26" s="54"/>
      <c r="W26" s="6"/>
    </row>
    <row r="27" spans="1:11" ht="12.75">
      <c r="A27" s="59" t="s">
        <v>52</v>
      </c>
      <c r="B27" s="73">
        <v>1368028.83693582</v>
      </c>
      <c r="C27" s="72">
        <v>2780782</v>
      </c>
      <c r="D27" s="71">
        <v>2172996</v>
      </c>
      <c r="E27" s="74">
        <v>3498428</v>
      </c>
      <c r="F27" s="71">
        <f>E27</f>
        <v>3498428</v>
      </c>
      <c r="G27" s="71">
        <f aca="true" t="shared" si="7" ref="G27:J28">F27</f>
        <v>3498428</v>
      </c>
      <c r="H27" s="71">
        <f t="shared" si="7"/>
        <v>3498428</v>
      </c>
      <c r="I27" s="71">
        <f t="shared" si="7"/>
        <v>3498428</v>
      </c>
      <c r="J27" s="102">
        <f t="shared" si="7"/>
        <v>3498428</v>
      </c>
      <c r="K27" s="54"/>
    </row>
    <row r="28" spans="1:11" ht="13.5" customHeight="1">
      <c r="A28" s="59" t="s">
        <v>53</v>
      </c>
      <c r="B28" s="73">
        <v>18286107.46</v>
      </c>
      <c r="C28" s="71">
        <v>18532448</v>
      </c>
      <c r="D28" s="71">
        <v>18627479</v>
      </c>
      <c r="E28" s="74">
        <v>18545097</v>
      </c>
      <c r="F28" s="71">
        <f>E28</f>
        <v>18545097</v>
      </c>
      <c r="G28" s="71">
        <f t="shared" si="7"/>
        <v>18545097</v>
      </c>
      <c r="H28" s="71">
        <f t="shared" si="7"/>
        <v>18545097</v>
      </c>
      <c r="I28" s="71">
        <f t="shared" si="7"/>
        <v>18545097</v>
      </c>
      <c r="J28" s="102">
        <f t="shared" si="7"/>
        <v>18545097</v>
      </c>
      <c r="K28" s="54"/>
    </row>
    <row r="29" spans="1:13" ht="13.5" customHeight="1">
      <c r="A29" s="59" t="s">
        <v>54</v>
      </c>
      <c r="B29" s="74">
        <v>135.56</v>
      </c>
      <c r="C29" s="74">
        <v>4083.6</v>
      </c>
      <c r="D29" s="71">
        <v>0</v>
      </c>
      <c r="E29" s="74">
        <v>0</v>
      </c>
      <c r="F29" s="71">
        <f>E29</f>
        <v>0</v>
      </c>
      <c r="G29" s="71">
        <v>0</v>
      </c>
      <c r="H29" s="71">
        <v>0</v>
      </c>
      <c r="I29" s="87">
        <v>0</v>
      </c>
      <c r="J29" s="102">
        <v>0</v>
      </c>
      <c r="K29" s="54"/>
      <c r="M29" s="6"/>
    </row>
    <row r="30" spans="1:13" ht="12.75">
      <c r="A30" s="59" t="s">
        <v>55</v>
      </c>
      <c r="B30" s="72">
        <v>9083978.33</v>
      </c>
      <c r="C30" s="71">
        <v>9112475.12</v>
      </c>
      <c r="D30" s="71">
        <v>7420426.7</v>
      </c>
      <c r="E30" s="74">
        <v>7516038</v>
      </c>
      <c r="F30" s="71">
        <f>E30*'2.1makronäitajad'!G14</f>
        <v>7741519.140000001</v>
      </c>
      <c r="G30" s="71">
        <f>F30*'2.1makronäitajad'!H14</f>
        <v>7950540.15678</v>
      </c>
      <c r="H30" s="71">
        <f>G30*'2.1makronäitajad'!I14</f>
        <v>8165204.741013059</v>
      </c>
      <c r="I30" s="71">
        <f>H30*'2.1makronäitajad'!J14</f>
        <v>8385665.269020411</v>
      </c>
      <c r="J30" s="102">
        <f>I30*'2.1makronäitajad'!$K$14</f>
        <v>8607046.83212255</v>
      </c>
      <c r="K30" s="54"/>
      <c r="L30" s="12"/>
      <c r="M30" s="6"/>
    </row>
    <row r="31" spans="1:13" ht="15">
      <c r="A31" s="98" t="s">
        <v>56</v>
      </c>
      <c r="B31" s="8">
        <f aca="true" t="shared" si="8" ref="B31:J31">SUM(B32:B35)</f>
        <v>584418.262765</v>
      </c>
      <c r="C31" s="8">
        <f t="shared" si="8"/>
        <v>550729.63</v>
      </c>
      <c r="D31" s="8">
        <f t="shared" si="8"/>
        <v>576000</v>
      </c>
      <c r="E31" s="8">
        <f t="shared" si="8"/>
        <v>457514</v>
      </c>
      <c r="F31" s="8">
        <f t="shared" si="8"/>
        <v>457514</v>
      </c>
      <c r="G31" s="8">
        <f t="shared" si="8"/>
        <v>457514</v>
      </c>
      <c r="H31" s="8">
        <f t="shared" si="8"/>
        <v>457514</v>
      </c>
      <c r="I31" s="8">
        <f t="shared" si="8"/>
        <v>457514</v>
      </c>
      <c r="J31" s="103">
        <f t="shared" si="8"/>
        <v>457514</v>
      </c>
      <c r="K31" s="54"/>
      <c r="L31" s="12"/>
      <c r="M31" s="6"/>
    </row>
    <row r="32" spans="1:13" ht="12.75">
      <c r="A32" s="63" t="s">
        <v>57</v>
      </c>
      <c r="B32" s="72">
        <v>123041.1719</v>
      </c>
      <c r="C32" s="83">
        <v>136504.51</v>
      </c>
      <c r="D32" s="83">
        <v>121000</v>
      </c>
      <c r="E32" s="74">
        <v>121000</v>
      </c>
      <c r="F32" s="83">
        <f>E32</f>
        <v>121000</v>
      </c>
      <c r="G32" s="83">
        <f aca="true" t="shared" si="9" ref="G32:J34">F32</f>
        <v>121000</v>
      </c>
      <c r="H32" s="83">
        <f t="shared" si="9"/>
        <v>121000</v>
      </c>
      <c r="I32" s="83">
        <f t="shared" si="9"/>
        <v>121000</v>
      </c>
      <c r="J32" s="105">
        <f t="shared" si="9"/>
        <v>121000</v>
      </c>
      <c r="K32" s="54"/>
      <c r="L32" s="12"/>
      <c r="M32" s="6"/>
    </row>
    <row r="33" spans="1:16" ht="12.75">
      <c r="A33" s="63" t="s">
        <v>58</v>
      </c>
      <c r="B33" s="72">
        <v>244738.5994</v>
      </c>
      <c r="C33" s="84">
        <v>175766</v>
      </c>
      <c r="D33" s="83">
        <v>155000</v>
      </c>
      <c r="E33" s="74">
        <v>156514</v>
      </c>
      <c r="F33" s="83">
        <f>E33</f>
        <v>156514</v>
      </c>
      <c r="G33" s="83">
        <f t="shared" si="9"/>
        <v>156514</v>
      </c>
      <c r="H33" s="83">
        <f t="shared" si="9"/>
        <v>156514</v>
      </c>
      <c r="I33" s="83">
        <f t="shared" si="9"/>
        <v>156514</v>
      </c>
      <c r="J33" s="105">
        <f t="shared" si="9"/>
        <v>156514</v>
      </c>
      <c r="K33" s="54"/>
      <c r="L33" s="12"/>
      <c r="M33" s="6"/>
      <c r="O33" s="6"/>
      <c r="P33" s="6"/>
    </row>
    <row r="34" spans="1:16" ht="12.75">
      <c r="A34" s="63" t="s">
        <v>59</v>
      </c>
      <c r="B34" s="72">
        <v>209119.7449</v>
      </c>
      <c r="C34" s="84">
        <v>175889.67</v>
      </c>
      <c r="D34" s="83">
        <v>300000</v>
      </c>
      <c r="E34" s="74">
        <v>180000</v>
      </c>
      <c r="F34" s="83">
        <f>E34</f>
        <v>180000</v>
      </c>
      <c r="G34" s="83">
        <f>F34</f>
        <v>180000</v>
      </c>
      <c r="H34" s="83">
        <f t="shared" si="9"/>
        <v>180000</v>
      </c>
      <c r="I34" s="83">
        <f t="shared" si="9"/>
        <v>180000</v>
      </c>
      <c r="J34" s="83">
        <f t="shared" si="9"/>
        <v>180000</v>
      </c>
      <c r="K34" s="54"/>
      <c r="L34" s="12"/>
      <c r="M34" s="6"/>
      <c r="O34" s="6"/>
      <c r="P34" s="6"/>
    </row>
    <row r="35" spans="1:16" ht="12.75">
      <c r="A35" s="63" t="s">
        <v>60</v>
      </c>
      <c r="B35" s="72">
        <v>7518.746565</v>
      </c>
      <c r="C35" s="84">
        <v>62569.45</v>
      </c>
      <c r="D35" s="83">
        <v>0</v>
      </c>
      <c r="E35" s="74">
        <v>0</v>
      </c>
      <c r="F35" s="83">
        <v>0</v>
      </c>
      <c r="G35" s="83">
        <v>0</v>
      </c>
      <c r="H35" s="83">
        <v>0</v>
      </c>
      <c r="I35" s="87">
        <v>0</v>
      </c>
      <c r="J35" s="102">
        <f>I35*'2.1makronäitajad'!$K$14</f>
        <v>0</v>
      </c>
      <c r="K35" s="54"/>
      <c r="L35" s="12"/>
      <c r="M35" s="6"/>
      <c r="O35" s="6"/>
      <c r="P35" s="6"/>
    </row>
    <row r="36" spans="1:11" ht="15">
      <c r="A36" s="96" t="s">
        <v>1</v>
      </c>
      <c r="B36" s="13">
        <f aca="true" t="shared" si="10" ref="B36:J36">SUM(B37:B38)</f>
        <v>-76925208.2145192</v>
      </c>
      <c r="C36" s="13">
        <f t="shared" si="10"/>
        <v>-83311211.15</v>
      </c>
      <c r="D36" s="13">
        <f t="shared" si="10"/>
        <v>-86260326.7</v>
      </c>
      <c r="E36" s="13">
        <f t="shared" si="10"/>
        <v>-87201574</v>
      </c>
      <c r="F36" s="13">
        <f t="shared" si="10"/>
        <v>-89817621.22</v>
      </c>
      <c r="G36" s="13">
        <f t="shared" si="10"/>
        <v>-92242696.99293998</v>
      </c>
      <c r="H36" s="13">
        <f t="shared" si="10"/>
        <v>-94733249.81174935</v>
      </c>
      <c r="I36" s="13">
        <f t="shared" si="10"/>
        <v>-97291047.5566666</v>
      </c>
      <c r="J36" s="106">
        <f t="shared" si="10"/>
        <v>-99859531.21216258</v>
      </c>
      <c r="K36" s="54"/>
    </row>
    <row r="37" spans="1:16" ht="12.75">
      <c r="A37" s="64" t="s">
        <v>61</v>
      </c>
      <c r="B37" s="72">
        <v>-13267880.1011082</v>
      </c>
      <c r="C37" s="71">
        <v>-11745132.619999997</v>
      </c>
      <c r="D37" s="71">
        <v>-11767135</v>
      </c>
      <c r="E37" s="74">
        <v>-11977947</v>
      </c>
      <c r="F37" s="71">
        <f>E37*'2.1makronäitajad'!G14</f>
        <v>-12337285.41</v>
      </c>
      <c r="G37" s="71">
        <f>F37*'2.1makronäitajad'!H14</f>
        <v>-12670392.116069999</v>
      </c>
      <c r="H37" s="71">
        <f>G37*'2.1makronäitajad'!I14</f>
        <v>-13012492.703203887</v>
      </c>
      <c r="I37" s="71">
        <f>H37*'2.1makronäitajad'!J14</f>
        <v>-13363830.006190391</v>
      </c>
      <c r="J37" s="71">
        <f>I37*'2.1makronäitajad'!K14</f>
        <v>-13716635.118353818</v>
      </c>
      <c r="K37" s="54"/>
      <c r="M37" s="10"/>
      <c r="N37" s="10"/>
      <c r="O37" s="10"/>
      <c r="P37" s="10"/>
    </row>
    <row r="38" spans="1:16" ht="12.75">
      <c r="A38" s="64" t="s">
        <v>13</v>
      </c>
      <c r="B38" s="70">
        <f aca="true" t="shared" si="11" ref="B38:J38">SUM(B39:B41)</f>
        <v>-63657328.113410994</v>
      </c>
      <c r="C38" s="77">
        <f t="shared" si="11"/>
        <v>-71566078.53</v>
      </c>
      <c r="D38" s="77">
        <f t="shared" si="11"/>
        <v>-74493191.7</v>
      </c>
      <c r="E38" s="77">
        <f t="shared" si="11"/>
        <v>-75223627</v>
      </c>
      <c r="F38" s="77">
        <f t="shared" si="11"/>
        <v>-77480335.81</v>
      </c>
      <c r="G38" s="77">
        <f t="shared" si="11"/>
        <v>-79572304.87686998</v>
      </c>
      <c r="H38" s="77">
        <f t="shared" si="11"/>
        <v>-81720757.10854547</v>
      </c>
      <c r="I38" s="77">
        <f t="shared" si="11"/>
        <v>-83927217.55047621</v>
      </c>
      <c r="J38" s="101">
        <f t="shared" si="11"/>
        <v>-86142896.09380877</v>
      </c>
      <c r="K38" s="54"/>
      <c r="M38" s="10"/>
      <c r="N38" s="10"/>
      <c r="O38" s="10"/>
      <c r="P38" s="10"/>
    </row>
    <row r="39" spans="1:11" ht="12.75">
      <c r="A39" s="64" t="s">
        <v>9</v>
      </c>
      <c r="B39" s="72">
        <v>-39072051.6751</v>
      </c>
      <c r="C39" s="71">
        <v>-39838954.53</v>
      </c>
      <c r="D39" s="71">
        <v>-40511371</v>
      </c>
      <c r="E39" s="74">
        <v>-40593492</v>
      </c>
      <c r="F39" s="71">
        <f>E39*'2.1makronäitajad'!G14</f>
        <v>-41811296.76</v>
      </c>
      <c r="G39" s="71">
        <f>F39*'2.1makronäitajad'!H14</f>
        <v>-42940201.77251999</v>
      </c>
      <c r="H39" s="71">
        <f>G39*'2.1makronäitajad'!I14</f>
        <v>-44099587.22037803</v>
      </c>
      <c r="I39" s="71">
        <f>H39*'2.1makronäitajad'!J14</f>
        <v>-45290276.07532823</v>
      </c>
      <c r="J39" s="71">
        <f>I39*'2.1makronäitajad'!K14</f>
        <v>-46485939.36371689</v>
      </c>
      <c r="K39" s="54"/>
    </row>
    <row r="40" spans="1:11" ht="12.75">
      <c r="A40" s="64" t="s">
        <v>10</v>
      </c>
      <c r="B40" s="72">
        <v>-24258199.2618</v>
      </c>
      <c r="C40" s="72">
        <v>-31395450.07</v>
      </c>
      <c r="D40" s="71">
        <v>-33160415.7</v>
      </c>
      <c r="E40" s="74">
        <v>-33902112</v>
      </c>
      <c r="F40" s="71">
        <f>E40*'2.1makronäitajad'!G$14</f>
        <v>-34919175.36</v>
      </c>
      <c r="G40" s="71">
        <f>F40*'2.1makronäitajad'!H$14</f>
        <v>-35861993.09472</v>
      </c>
      <c r="H40" s="71">
        <f>G40*'2.1makronäitajad'!I$14</f>
        <v>-36830266.90827744</v>
      </c>
      <c r="I40" s="71">
        <f>H40*'2.1makronäitajad'!J$14</f>
        <v>-37824684.11480092</v>
      </c>
      <c r="J40" s="102">
        <f>I40*'2.1makronäitajad'!$K$14</f>
        <v>-38823255.77543166</v>
      </c>
      <c r="K40" s="54"/>
    </row>
    <row r="41" spans="1:13" ht="12.75">
      <c r="A41" s="64" t="s">
        <v>11</v>
      </c>
      <c r="B41" s="72">
        <v>-327077.176511</v>
      </c>
      <c r="C41" s="71">
        <v>-331673.93</v>
      </c>
      <c r="D41" s="71">
        <v>-821405</v>
      </c>
      <c r="E41" s="74">
        <v>-728023</v>
      </c>
      <c r="F41" s="71">
        <f>E41*'2.1makronäitajad'!G$14</f>
        <v>-749863.6900000001</v>
      </c>
      <c r="G41" s="71">
        <f>F41*'2.1makronäitajad'!H$14</f>
        <v>-770110.00963</v>
      </c>
      <c r="H41" s="71">
        <f>G41*'2.1makronäitajad'!I$14</f>
        <v>-790902.97989001</v>
      </c>
      <c r="I41" s="71">
        <f>H41*'2.1makronäitajad'!J$14</f>
        <v>-812257.3603470401</v>
      </c>
      <c r="J41" s="102">
        <f>I41*'2.1makronäitajad'!$K$14</f>
        <v>-833700.9546602019</v>
      </c>
      <c r="K41" s="54"/>
      <c r="L41" s="10"/>
      <c r="M41" s="10"/>
    </row>
    <row r="42" spans="1:13" ht="15">
      <c r="A42" s="107" t="s">
        <v>8</v>
      </c>
      <c r="B42" s="15">
        <f aca="true" t="shared" si="12" ref="B42:J42">B5+B36</f>
        <v>7384903.873666123</v>
      </c>
      <c r="C42" s="15">
        <f t="shared" si="12"/>
        <v>8601227.00999999</v>
      </c>
      <c r="D42" s="15">
        <f t="shared" si="12"/>
        <v>4108288</v>
      </c>
      <c r="E42" s="15">
        <f t="shared" si="12"/>
        <v>4515257</v>
      </c>
      <c r="F42" s="15">
        <f t="shared" si="12"/>
        <v>5961274.540000007</v>
      </c>
      <c r="G42" s="15">
        <f t="shared" si="12"/>
        <v>7108494.62158002</v>
      </c>
      <c r="H42" s="15">
        <f t="shared" si="12"/>
        <v>8411471.397362694</v>
      </c>
      <c r="I42" s="15">
        <f t="shared" si="12"/>
        <v>10084907.113091454</v>
      </c>
      <c r="J42" s="108">
        <f t="shared" si="12"/>
        <v>10148439.781677082</v>
      </c>
      <c r="K42" s="54"/>
      <c r="L42" s="10"/>
      <c r="M42" s="10"/>
    </row>
    <row r="43" spans="1:13" ht="15">
      <c r="A43" s="109" t="s">
        <v>2</v>
      </c>
      <c r="B43" s="15">
        <f>B44+B53</f>
        <v>-6116065.28818818</v>
      </c>
      <c r="C43" s="15">
        <f aca="true" t="shared" si="13" ref="C43:J43">C44+C53</f>
        <v>-5017327.430000002</v>
      </c>
      <c r="D43" s="15">
        <f t="shared" si="13"/>
        <v>-8736690</v>
      </c>
      <c r="E43" s="15">
        <f t="shared" si="13"/>
        <v>-13748650</v>
      </c>
      <c r="F43" s="15">
        <f t="shared" si="13"/>
        <v>-7808352.199999999</v>
      </c>
      <c r="G43" s="15">
        <f t="shared" si="13"/>
        <v>-7650839.986000001</v>
      </c>
      <c r="H43" s="15">
        <f t="shared" si="13"/>
        <v>-7688280.076749997</v>
      </c>
      <c r="I43" s="15">
        <f t="shared" si="13"/>
        <v>-8275157.307399999</v>
      </c>
      <c r="J43" s="108">
        <f t="shared" si="13"/>
        <v>-8296235.065499999</v>
      </c>
      <c r="K43" s="54"/>
      <c r="L43" s="10"/>
      <c r="M43" s="10"/>
    </row>
    <row r="44" spans="1:13" ht="15">
      <c r="A44" s="110" t="s">
        <v>62</v>
      </c>
      <c r="B44" s="11">
        <f>B45+B48+B49+B52</f>
        <v>7552225.81403205</v>
      </c>
      <c r="C44" s="11">
        <f aca="true" t="shared" si="14" ref="C44:J44">C45+C48+C49+C52</f>
        <v>6721113.93</v>
      </c>
      <c r="D44" s="11">
        <f t="shared" si="14"/>
        <v>23597053</v>
      </c>
      <c r="E44" s="11">
        <f t="shared" si="14"/>
        <v>23929653</v>
      </c>
      <c r="F44" s="11">
        <f t="shared" si="14"/>
        <v>17761661</v>
      </c>
      <c r="G44" s="11">
        <f t="shared" si="14"/>
        <v>13032999.95</v>
      </c>
      <c r="H44" s="11">
        <f t="shared" si="14"/>
        <v>12943158.65</v>
      </c>
      <c r="I44" s="11">
        <f t="shared" si="14"/>
        <v>12985536</v>
      </c>
      <c r="J44" s="104">
        <f t="shared" si="14"/>
        <v>12985536</v>
      </c>
      <c r="K44" s="54"/>
      <c r="L44" s="10"/>
      <c r="M44" s="10"/>
    </row>
    <row r="45" spans="1:13" ht="12.75" customHeight="1">
      <c r="A45" s="65" t="s">
        <v>14</v>
      </c>
      <c r="B45" s="72">
        <f aca="true" t="shared" si="15" ref="B45:J45">SUM(B46:B47)</f>
        <v>301406.73</v>
      </c>
      <c r="C45" s="71">
        <f t="shared" si="15"/>
        <v>754261.01</v>
      </c>
      <c r="D45" s="71">
        <f t="shared" si="15"/>
        <v>661350</v>
      </c>
      <c r="E45" s="71">
        <f t="shared" si="15"/>
        <v>759967</v>
      </c>
      <c r="F45" s="71">
        <f t="shared" si="15"/>
        <v>759967</v>
      </c>
      <c r="G45" s="71">
        <f t="shared" si="15"/>
        <v>759967</v>
      </c>
      <c r="H45" s="71">
        <f t="shared" si="15"/>
        <v>759967</v>
      </c>
      <c r="I45" s="71">
        <f t="shared" si="15"/>
        <v>759967</v>
      </c>
      <c r="J45" s="102">
        <f t="shared" si="15"/>
        <v>759967</v>
      </c>
      <c r="K45" s="54"/>
      <c r="L45" s="10"/>
      <c r="M45" s="10"/>
    </row>
    <row r="46" spans="1:13" ht="12.75" customHeight="1">
      <c r="A46" s="65" t="s">
        <v>63</v>
      </c>
      <c r="B46" s="72">
        <v>101702.61</v>
      </c>
      <c r="C46" s="72">
        <v>552742.25</v>
      </c>
      <c r="D46" s="71">
        <v>600000</v>
      </c>
      <c r="E46" s="74">
        <v>600000</v>
      </c>
      <c r="F46" s="71">
        <f>E46</f>
        <v>600000</v>
      </c>
      <c r="G46" s="71">
        <f aca="true" t="shared" si="16" ref="G46:I47">F46</f>
        <v>600000</v>
      </c>
      <c r="H46" s="71">
        <f t="shared" si="16"/>
        <v>600000</v>
      </c>
      <c r="I46" s="71">
        <f t="shared" si="16"/>
        <v>600000</v>
      </c>
      <c r="J46" s="102">
        <f>I46</f>
        <v>600000</v>
      </c>
      <c r="K46" s="54"/>
      <c r="L46" s="10"/>
      <c r="M46" s="10"/>
    </row>
    <row r="47" spans="1:13" ht="12.75" customHeight="1">
      <c r="A47" s="65" t="s">
        <v>64</v>
      </c>
      <c r="B47" s="72">
        <v>199704.12</v>
      </c>
      <c r="C47" s="72">
        <v>201518.76</v>
      </c>
      <c r="D47" s="71">
        <v>61350</v>
      </c>
      <c r="E47" s="74">
        <v>159967</v>
      </c>
      <c r="F47" s="71">
        <f>E47</f>
        <v>159967</v>
      </c>
      <c r="G47" s="71">
        <f t="shared" si="16"/>
        <v>159967</v>
      </c>
      <c r="H47" s="71">
        <f t="shared" si="16"/>
        <v>159967</v>
      </c>
      <c r="I47" s="71">
        <f t="shared" si="16"/>
        <v>159967</v>
      </c>
      <c r="J47" s="102">
        <f>I47</f>
        <v>159967</v>
      </c>
      <c r="K47" s="54"/>
      <c r="L47" s="10"/>
      <c r="M47" s="10"/>
    </row>
    <row r="48" spans="1:13" ht="12.75" customHeight="1">
      <c r="A48" s="66" t="s">
        <v>16</v>
      </c>
      <c r="B48" s="72">
        <v>7092588.67357765</v>
      </c>
      <c r="C48" s="72">
        <v>5861360.42</v>
      </c>
      <c r="D48" s="71">
        <v>22710134</v>
      </c>
      <c r="E48" s="74">
        <v>22944117</v>
      </c>
      <c r="F48" s="71">
        <v>16776125</v>
      </c>
      <c r="G48" s="71">
        <v>12047463.95</v>
      </c>
      <c r="H48" s="71">
        <v>11957622.65</v>
      </c>
      <c r="I48" s="71">
        <v>12000000</v>
      </c>
      <c r="J48" s="102">
        <v>12000000</v>
      </c>
      <c r="K48" s="18"/>
      <c r="L48" s="10"/>
      <c r="M48" s="10"/>
    </row>
    <row r="49" spans="1:13" ht="12.75" customHeight="1">
      <c r="A49" s="65" t="s">
        <v>26</v>
      </c>
      <c r="B49" s="72">
        <f aca="true" t="shared" si="17" ref="B49:J49">SUM(B50:B51)</f>
        <v>94318.76000000001</v>
      </c>
      <c r="C49" s="71">
        <f t="shared" si="17"/>
        <v>87482.09</v>
      </c>
      <c r="D49" s="71">
        <f t="shared" si="17"/>
        <v>225569</v>
      </c>
      <c r="E49" s="71">
        <f t="shared" si="17"/>
        <v>225569</v>
      </c>
      <c r="F49" s="71">
        <f t="shared" si="17"/>
        <v>225569</v>
      </c>
      <c r="G49" s="71">
        <f t="shared" si="17"/>
        <v>225569</v>
      </c>
      <c r="H49" s="71">
        <f t="shared" si="17"/>
        <v>225569</v>
      </c>
      <c r="I49" s="71">
        <f t="shared" si="17"/>
        <v>225569</v>
      </c>
      <c r="J49" s="102">
        <f t="shared" si="17"/>
        <v>225569</v>
      </c>
      <c r="K49" s="54"/>
      <c r="L49" s="10"/>
      <c r="M49" s="10"/>
    </row>
    <row r="50" spans="1:13" ht="12.75" customHeight="1">
      <c r="A50" s="65" t="s">
        <v>65</v>
      </c>
      <c r="B50" s="72">
        <v>30407.11</v>
      </c>
      <c r="C50" s="71">
        <v>55526.09</v>
      </c>
      <c r="D50" s="71">
        <v>25569</v>
      </c>
      <c r="E50" s="74">
        <v>25569</v>
      </c>
      <c r="F50" s="71">
        <f>E50</f>
        <v>25569</v>
      </c>
      <c r="G50" s="71">
        <f aca="true" t="shared" si="18" ref="G50:I51">F50</f>
        <v>25569</v>
      </c>
      <c r="H50" s="71">
        <f t="shared" si="18"/>
        <v>25569</v>
      </c>
      <c r="I50" s="71">
        <f t="shared" si="18"/>
        <v>25569</v>
      </c>
      <c r="J50" s="102">
        <f>I50</f>
        <v>25569</v>
      </c>
      <c r="K50" s="54"/>
      <c r="L50" s="10"/>
      <c r="M50" s="10"/>
    </row>
    <row r="51" spans="1:13" ht="12.75" customHeight="1">
      <c r="A51" s="65" t="s">
        <v>66</v>
      </c>
      <c r="B51" s="72">
        <v>63911.65</v>
      </c>
      <c r="C51" s="71">
        <v>31956</v>
      </c>
      <c r="D51" s="71">
        <v>200000</v>
      </c>
      <c r="E51" s="74">
        <v>200000</v>
      </c>
      <c r="F51" s="71">
        <f>E51</f>
        <v>200000</v>
      </c>
      <c r="G51" s="71">
        <f t="shared" si="18"/>
        <v>200000</v>
      </c>
      <c r="H51" s="71">
        <f t="shared" si="18"/>
        <v>200000</v>
      </c>
      <c r="I51" s="71">
        <f t="shared" si="18"/>
        <v>200000</v>
      </c>
      <c r="J51" s="102">
        <f>I51</f>
        <v>200000</v>
      </c>
      <c r="K51" s="54"/>
      <c r="L51" s="10"/>
      <c r="M51" s="10"/>
    </row>
    <row r="52" spans="1:13" ht="12.75" customHeight="1">
      <c r="A52" s="67" t="s">
        <v>18</v>
      </c>
      <c r="B52" s="72">
        <v>63911.6504544</v>
      </c>
      <c r="C52" s="71">
        <v>18010.41</v>
      </c>
      <c r="D52" s="71">
        <v>0</v>
      </c>
      <c r="E52" s="74">
        <v>0</v>
      </c>
      <c r="F52" s="71">
        <v>0</v>
      </c>
      <c r="G52" s="71">
        <v>0</v>
      </c>
      <c r="H52" s="71">
        <v>0</v>
      </c>
      <c r="I52" s="87">
        <v>0</v>
      </c>
      <c r="J52" s="102">
        <f>I52</f>
        <v>0</v>
      </c>
      <c r="K52" s="54"/>
      <c r="L52" s="10"/>
      <c r="M52" s="10"/>
    </row>
    <row r="53" spans="1:11" s="17" customFormat="1" ht="12.75" customHeight="1">
      <c r="A53" s="111" t="s">
        <v>67</v>
      </c>
      <c r="B53" s="16">
        <f aca="true" t="shared" si="19" ref="B53:J53">B54+B55+B56+B57</f>
        <v>-13668291.10222023</v>
      </c>
      <c r="C53" s="16">
        <f t="shared" si="19"/>
        <v>-11738441.360000001</v>
      </c>
      <c r="D53" s="16">
        <f t="shared" si="19"/>
        <v>-32333743</v>
      </c>
      <c r="E53" s="16">
        <f t="shared" si="19"/>
        <v>-37678303</v>
      </c>
      <c r="F53" s="16">
        <f t="shared" si="19"/>
        <v>-25570013.2</v>
      </c>
      <c r="G53" s="16">
        <f t="shared" si="19"/>
        <v>-20683839.936</v>
      </c>
      <c r="H53" s="16">
        <f t="shared" si="19"/>
        <v>-20631438.726749998</v>
      </c>
      <c r="I53" s="16">
        <f t="shared" si="19"/>
        <v>-21260693.3074</v>
      </c>
      <c r="J53" s="112">
        <f t="shared" si="19"/>
        <v>-21281771.0655</v>
      </c>
      <c r="K53" s="56"/>
    </row>
    <row r="54" spans="1:11" ht="12.75">
      <c r="A54" s="65" t="s">
        <v>15</v>
      </c>
      <c r="B54" s="72">
        <v>-9924595.54599721</v>
      </c>
      <c r="C54" s="72">
        <v>-8561691.39</v>
      </c>
      <c r="D54" s="71">
        <v>-29722521</v>
      </c>
      <c r="E54" s="74">
        <v>-34186667</v>
      </c>
      <c r="F54" s="71">
        <v>-23905736</v>
      </c>
      <c r="G54" s="71">
        <v>-18689487</v>
      </c>
      <c r="H54" s="71">
        <v>-18588157.65</v>
      </c>
      <c r="I54" s="71">
        <v>-19000000</v>
      </c>
      <c r="J54" s="71">
        <v>-19000000</v>
      </c>
      <c r="K54" s="55"/>
    </row>
    <row r="55" spans="1:23" ht="12.75" customHeight="1">
      <c r="A55" s="65" t="s">
        <v>17</v>
      </c>
      <c r="B55" s="69">
        <v>-2569523.09127862</v>
      </c>
      <c r="C55" s="71">
        <v>-2000448.11</v>
      </c>
      <c r="D55" s="71">
        <v>-1136840</v>
      </c>
      <c r="E55" s="74">
        <v>-2015412</v>
      </c>
      <c r="F55" s="71">
        <v>-500000</v>
      </c>
      <c r="G55" s="71">
        <v>-500000</v>
      </c>
      <c r="H55" s="71">
        <v>-500000</v>
      </c>
      <c r="I55" s="71">
        <v>-500000</v>
      </c>
      <c r="J55" s="71">
        <v>-500000</v>
      </c>
      <c r="K55" s="54"/>
      <c r="L55" s="6"/>
      <c r="M55" s="6"/>
      <c r="N55" s="6"/>
      <c r="O55" s="6"/>
      <c r="P55" s="6"/>
      <c r="S55" s="6"/>
      <c r="T55" s="6"/>
      <c r="U55" s="6"/>
      <c r="V55" s="6"/>
      <c r="W55" s="6"/>
    </row>
    <row r="56" spans="1:23" ht="14.25" customHeight="1">
      <c r="A56" s="65" t="s">
        <v>27</v>
      </c>
      <c r="B56" s="72">
        <v>-1109925.5096954</v>
      </c>
      <c r="C56" s="72">
        <v>-1175649.96</v>
      </c>
      <c r="D56" s="71">
        <v>-1474382</v>
      </c>
      <c r="E56" s="74">
        <v>-1476224</v>
      </c>
      <c r="F56" s="71">
        <f>-'2.4 laenukohustused'!J60</f>
        <v>-1164277.2</v>
      </c>
      <c r="G56" s="71">
        <f>-'2.4 laenukohustused'!K60</f>
        <v>-1494352.936</v>
      </c>
      <c r="H56" s="71">
        <f>-'2.4 laenukohustused'!L60</f>
        <v>-1543281.0767500002</v>
      </c>
      <c r="I56" s="71">
        <f>-'2.4 laenukohustused'!M60</f>
        <v>-1760693.3074</v>
      </c>
      <c r="J56" s="71">
        <f>-'2.4 laenukohustused'!N60</f>
        <v>-1781771.0655000003</v>
      </c>
      <c r="K56" s="54"/>
      <c r="L56" s="6"/>
      <c r="M56" s="6"/>
      <c r="N56" s="6"/>
      <c r="O56" s="6"/>
      <c r="P56" s="6"/>
      <c r="S56" s="6"/>
      <c r="T56" s="6"/>
      <c r="U56" s="6"/>
      <c r="V56" s="6"/>
      <c r="W56" s="6"/>
    </row>
    <row r="57" spans="1:23" ht="12.75" customHeight="1">
      <c r="A57" s="67" t="s">
        <v>19</v>
      </c>
      <c r="B57" s="70">
        <v>-64246.955249</v>
      </c>
      <c r="C57" s="71">
        <v>-651.9</v>
      </c>
      <c r="D57" s="71">
        <v>0</v>
      </c>
      <c r="E57" s="74">
        <v>0</v>
      </c>
      <c r="F57" s="71">
        <v>0</v>
      </c>
      <c r="G57" s="71">
        <v>0</v>
      </c>
      <c r="H57" s="71">
        <v>0</v>
      </c>
      <c r="I57" s="88">
        <v>0</v>
      </c>
      <c r="J57" s="102">
        <v>0</v>
      </c>
      <c r="K57" s="54"/>
      <c r="L57" s="6"/>
      <c r="M57" s="6"/>
      <c r="N57" s="6"/>
      <c r="O57" s="6"/>
      <c r="P57" s="6"/>
      <c r="S57" s="6"/>
      <c r="T57" s="6"/>
      <c r="U57" s="6"/>
      <c r="V57" s="6"/>
      <c r="W57" s="6"/>
    </row>
    <row r="58" spans="1:11" ht="15">
      <c r="A58" s="113" t="s">
        <v>3</v>
      </c>
      <c r="B58" s="13">
        <f aca="true" t="shared" si="20" ref="B58:J58">B42+B43</f>
        <v>1268838.5854779426</v>
      </c>
      <c r="C58" s="13">
        <f t="shared" si="20"/>
        <v>3583899.579999989</v>
      </c>
      <c r="D58" s="13">
        <f t="shared" si="20"/>
        <v>-4628402</v>
      </c>
      <c r="E58" s="13">
        <f t="shared" si="20"/>
        <v>-9233393</v>
      </c>
      <c r="F58" s="13">
        <f t="shared" si="20"/>
        <v>-1847077.6599999927</v>
      </c>
      <c r="G58" s="13">
        <f t="shared" si="20"/>
        <v>-542345.3644199818</v>
      </c>
      <c r="H58" s="13">
        <f t="shared" si="20"/>
        <v>723191.3206126969</v>
      </c>
      <c r="I58" s="13">
        <f t="shared" si="20"/>
        <v>1809749.8056914546</v>
      </c>
      <c r="J58" s="106">
        <f t="shared" si="20"/>
        <v>1852204.7161770836</v>
      </c>
      <c r="K58" s="54"/>
    </row>
    <row r="59" spans="1:11" ht="15">
      <c r="A59" s="113" t="s">
        <v>4</v>
      </c>
      <c r="B59" s="13">
        <f aca="true" t="shared" si="21" ref="B59:J59">B60+B63</f>
        <v>-676169.9151125485</v>
      </c>
      <c r="C59" s="13">
        <f t="shared" si="21"/>
        <v>-233150.26999999955</v>
      </c>
      <c r="D59" s="13">
        <f t="shared" si="21"/>
        <v>2272552</v>
      </c>
      <c r="E59" s="13">
        <f t="shared" si="21"/>
        <v>2264841</v>
      </c>
      <c r="F59" s="13">
        <f t="shared" si="21"/>
        <v>1847077.8518981747</v>
      </c>
      <c r="G59" s="13">
        <f t="shared" si="21"/>
        <v>542345.3644199818</v>
      </c>
      <c r="H59" s="13">
        <f t="shared" si="21"/>
        <v>-567163.4000000004</v>
      </c>
      <c r="I59" s="13">
        <f t="shared" si="21"/>
        <v>-579158.5800000001</v>
      </c>
      <c r="J59" s="106">
        <f t="shared" si="21"/>
        <v>-591692.3200000003</v>
      </c>
      <c r="K59" s="54"/>
    </row>
    <row r="60" spans="1:11" ht="12.75">
      <c r="A60" s="68" t="s">
        <v>68</v>
      </c>
      <c r="B60" s="71">
        <f aca="true" t="shared" si="22" ref="B60:J60">SUM(B61:B62)</f>
        <v>3570807</v>
      </c>
      <c r="C60" s="71">
        <f t="shared" si="22"/>
        <v>11320800</v>
      </c>
      <c r="D60" s="71">
        <f t="shared" si="22"/>
        <v>8385846</v>
      </c>
      <c r="E60" s="71">
        <f t="shared" si="22"/>
        <v>8385846</v>
      </c>
      <c r="F60" s="71">
        <f t="shared" si="22"/>
        <v>16242400.969999999</v>
      </c>
      <c r="G60" s="71">
        <f t="shared" si="22"/>
        <v>7516195.754419982</v>
      </c>
      <c r="H60" s="71">
        <f t="shared" si="22"/>
        <v>6231128.33</v>
      </c>
      <c r="I60" s="71">
        <f t="shared" si="22"/>
        <v>6140077.88</v>
      </c>
      <c r="J60" s="102">
        <f t="shared" si="22"/>
        <v>5926666.5</v>
      </c>
      <c r="K60" s="54"/>
    </row>
    <row r="61" spans="1:11" ht="12.75">
      <c r="A61" s="65" t="s">
        <v>69</v>
      </c>
      <c r="B61" s="72">
        <v>3570807</v>
      </c>
      <c r="C61" s="71">
        <v>11320800</v>
      </c>
      <c r="D61" s="74">
        <v>5870000</v>
      </c>
      <c r="E61" s="74">
        <v>5870000</v>
      </c>
      <c r="F61" s="74">
        <f>'2.4 laenukohustused'!J59-'2.4 laenukohustused'!J34-'2.4 laenukohustused'!J37-'2.4 laenukohustused'!J40</f>
        <v>14142400.969999999</v>
      </c>
      <c r="G61" s="74">
        <f>'2.4 laenukohustused'!K59-'2.4 laenukohustused'!K34</f>
        <v>6718166.73</v>
      </c>
      <c r="H61" s="74">
        <f>'2.4 laenukohustused'!L59-'2.4 laenukohustused'!L34</f>
        <v>6531128.33</v>
      </c>
      <c r="I61" s="74">
        <f>'2.4 laenukohustused'!M59-'2.4 laenukohustused'!M34</f>
        <v>6440077.88</v>
      </c>
      <c r="J61" s="74">
        <f>'2.4 laenukohustused'!N59-'2.4 laenukohustused'!N34</f>
        <v>6226666.5</v>
      </c>
      <c r="K61" s="54"/>
    </row>
    <row r="62" spans="1:11" ht="12.75">
      <c r="A62" s="65" t="s">
        <v>70</v>
      </c>
      <c r="B62" s="72">
        <v>0</v>
      </c>
      <c r="C62" s="71">
        <v>0</v>
      </c>
      <c r="D62" s="74">
        <v>2515846</v>
      </c>
      <c r="E62" s="74">
        <v>2515846</v>
      </c>
      <c r="F62" s="74">
        <v>2100000</v>
      </c>
      <c r="G62" s="74">
        <f>-(G58+G63)-G61</f>
        <v>798029.024419982</v>
      </c>
      <c r="H62" s="74">
        <v>-300000</v>
      </c>
      <c r="I62" s="74">
        <v>-300000</v>
      </c>
      <c r="J62" s="74">
        <v>-300000</v>
      </c>
      <c r="K62" s="54"/>
    </row>
    <row r="63" spans="1:11" ht="12.75">
      <c r="A63" s="68" t="s">
        <v>71</v>
      </c>
      <c r="B63" s="72">
        <v>-4246976.9151125485</v>
      </c>
      <c r="C63" s="71">
        <v>-11553950.27</v>
      </c>
      <c r="D63" s="74">
        <v>-6113294</v>
      </c>
      <c r="E63" s="74">
        <v>-6121005</v>
      </c>
      <c r="F63" s="74">
        <f>(F61*-1)-'2.4 laenukohustused'!J34-'2.4 laenukohustused'!J37-'2.4 laenukohustused'!J40</f>
        <v>-14395323.118101824</v>
      </c>
      <c r="G63" s="74">
        <f>(G61*-1)-'2.4 laenukohustused'!K34</f>
        <v>-6973850.390000001</v>
      </c>
      <c r="H63" s="74">
        <f>(H61*-1)-'2.4 laenukohustused'!L34</f>
        <v>-6798291.73</v>
      </c>
      <c r="I63" s="74">
        <f>(I61*-1)-'2.4 laenukohustused'!M34</f>
        <v>-6719236.46</v>
      </c>
      <c r="J63" s="74">
        <f>(J61*-1)-'2.4 laenukohustused'!N34</f>
        <v>-6518358.82</v>
      </c>
      <c r="K63" s="54"/>
    </row>
    <row r="64" spans="1:11" ht="32.25" customHeight="1" thickBot="1">
      <c r="A64" s="114" t="s">
        <v>20</v>
      </c>
      <c r="B64" s="115">
        <v>592668.77340762</v>
      </c>
      <c r="C64" s="115">
        <f aca="true" t="shared" si="23" ref="C64:J64">(C58+C59)</f>
        <v>3350749.3099999893</v>
      </c>
      <c r="D64" s="115">
        <f t="shared" si="23"/>
        <v>-2355850</v>
      </c>
      <c r="E64" s="115">
        <f t="shared" si="23"/>
        <v>-6968552</v>
      </c>
      <c r="F64" s="115">
        <f t="shared" si="23"/>
        <v>0.1918981820344925</v>
      </c>
      <c r="G64" s="115">
        <f t="shared" si="23"/>
        <v>0</v>
      </c>
      <c r="H64" s="115">
        <f t="shared" si="23"/>
        <v>156027.92061269656</v>
      </c>
      <c r="I64" s="115">
        <f t="shared" si="23"/>
        <v>1230591.2256914545</v>
      </c>
      <c r="J64" s="116">
        <f t="shared" si="23"/>
        <v>1260512.3961770833</v>
      </c>
      <c r="K64" s="54"/>
    </row>
    <row r="65" spans="1:11" ht="25.5">
      <c r="A65" s="21" t="s">
        <v>21</v>
      </c>
      <c r="B65" s="70"/>
      <c r="C65" s="71"/>
      <c r="D65" s="71"/>
      <c r="E65" s="71"/>
      <c r="F65" s="71"/>
      <c r="G65" s="71"/>
      <c r="H65" s="71"/>
      <c r="I65" s="71"/>
      <c r="J65" s="71"/>
      <c r="K65" s="54"/>
    </row>
    <row r="66" spans="1:11" ht="12.75">
      <c r="A66" s="56"/>
      <c r="B66" s="72"/>
      <c r="C66" s="71"/>
      <c r="D66" s="71"/>
      <c r="E66" s="71"/>
      <c r="F66" s="71"/>
      <c r="G66" s="71"/>
      <c r="H66" s="71"/>
      <c r="I66" s="71"/>
      <c r="J66" s="71"/>
      <c r="K66" s="54"/>
    </row>
    <row r="67" spans="1:11" ht="12.75">
      <c r="A67" s="117" t="s">
        <v>6</v>
      </c>
      <c r="B67" s="118">
        <v>4034030.9299999997</v>
      </c>
      <c r="C67" s="8">
        <f>B67+C64</f>
        <v>7384780.239999989</v>
      </c>
      <c r="D67" s="8">
        <f>C67+D64</f>
        <v>5028930.239999989</v>
      </c>
      <c r="E67" s="8">
        <f>C67+E64</f>
        <v>416228.23999998905</v>
      </c>
      <c r="F67" s="8">
        <f>E67+F64</f>
        <v>416228.4318981711</v>
      </c>
      <c r="G67" s="8">
        <f>F67+G64</f>
        <v>416228.4318981711</v>
      </c>
      <c r="H67" s="8">
        <f>G67+H64</f>
        <v>572256.3525108676</v>
      </c>
      <c r="I67" s="8">
        <f>H67+I64</f>
        <v>1802847.5782023221</v>
      </c>
      <c r="J67" s="8">
        <f>I67+J64</f>
        <v>3063359.9743794054</v>
      </c>
      <c r="K67" s="54"/>
    </row>
    <row r="68" spans="1:11" ht="12.75">
      <c r="A68" s="119" t="s">
        <v>12</v>
      </c>
      <c r="B68" s="120">
        <f>717883804.25/15.6466</f>
        <v>45881137.38767528</v>
      </c>
      <c r="C68" s="120">
        <f>B68+C59</f>
        <v>45647987.117675275</v>
      </c>
      <c r="D68" s="120">
        <f>C68+D60+D63</f>
        <v>47920539.117675275</v>
      </c>
      <c r="E68" s="120">
        <f>C68+E60+E63</f>
        <v>47912828.117675275</v>
      </c>
      <c r="F68" s="120">
        <f>E68+F60+F63</f>
        <v>49759905.96957345</v>
      </c>
      <c r="G68" s="120">
        <f>F68+G60+G63</f>
        <v>50302251.333993435</v>
      </c>
      <c r="H68" s="120">
        <f>G68+H60+H63</f>
        <v>49735087.93399343</v>
      </c>
      <c r="I68" s="120">
        <f>H68+I60+I63</f>
        <v>49155929.35399343</v>
      </c>
      <c r="J68" s="120">
        <f>I68+J60+J63</f>
        <v>48564237.03399343</v>
      </c>
      <c r="K68" s="18"/>
    </row>
    <row r="69" spans="1:11" ht="15.75" hidden="1">
      <c r="A69" s="57" t="s">
        <v>72</v>
      </c>
      <c r="B69" s="75">
        <f>15692370/15.6466</f>
        <v>1002925.2361535414</v>
      </c>
      <c r="C69" s="85"/>
      <c r="D69" s="86"/>
      <c r="E69" s="86"/>
      <c r="F69" s="86"/>
      <c r="G69" s="86"/>
      <c r="H69" s="86"/>
      <c r="I69" s="89"/>
      <c r="J69" s="89"/>
      <c r="K69" s="54"/>
    </row>
    <row r="70" spans="1:11" ht="15.75" hidden="1">
      <c r="A70" s="57" t="s">
        <v>73</v>
      </c>
      <c r="B70" s="75"/>
      <c r="C70" s="85"/>
      <c r="D70" s="85"/>
      <c r="E70" s="85"/>
      <c r="F70" s="85"/>
      <c r="G70" s="85"/>
      <c r="H70" s="85"/>
      <c r="I70" s="89"/>
      <c r="J70" s="89"/>
      <c r="K70" s="54"/>
    </row>
    <row r="71" spans="1:11" ht="12.75">
      <c r="A71" s="117" t="s">
        <v>74</v>
      </c>
      <c r="B71" s="121">
        <f aca="true" t="shared" si="24" ref="B71:J71">B68-B67</f>
        <v>41847106.45767528</v>
      </c>
      <c r="C71" s="7">
        <f t="shared" si="24"/>
        <v>38263206.87767529</v>
      </c>
      <c r="D71" s="7">
        <f t="shared" si="24"/>
        <v>42891608.87767529</v>
      </c>
      <c r="E71" s="7">
        <f t="shared" si="24"/>
        <v>47496599.87767529</v>
      </c>
      <c r="F71" s="7">
        <f t="shared" si="24"/>
        <v>49343677.537675284</v>
      </c>
      <c r="G71" s="7">
        <f t="shared" si="24"/>
        <v>49886022.902095266</v>
      </c>
      <c r="H71" s="7">
        <f t="shared" si="24"/>
        <v>49162831.58148256</v>
      </c>
      <c r="I71" s="7">
        <f t="shared" si="24"/>
        <v>47353081.77579111</v>
      </c>
      <c r="J71" s="7">
        <f t="shared" si="24"/>
        <v>45500877.059614025</v>
      </c>
      <c r="K71" s="54"/>
    </row>
    <row r="72" spans="1:11" ht="12.75">
      <c r="A72" s="117" t="s">
        <v>22</v>
      </c>
      <c r="B72" s="122">
        <f aca="true" t="shared" si="25" ref="B72:J72">B71/B5</f>
        <v>0.49634741813538</v>
      </c>
      <c r="C72" s="123">
        <f t="shared" si="25"/>
        <v>0.4163006405190469</v>
      </c>
      <c r="D72" s="123">
        <f t="shared" si="25"/>
        <v>0.4746294830352787</v>
      </c>
      <c r="E72" s="123">
        <f t="shared" si="25"/>
        <v>0.5178613277390197</v>
      </c>
      <c r="F72" s="123">
        <f t="shared" si="25"/>
        <v>0.5151831950675152</v>
      </c>
      <c r="G72" s="123">
        <f t="shared" si="25"/>
        <v>0.5021180127929589</v>
      </c>
      <c r="H72" s="123">
        <f t="shared" si="25"/>
        <v>0.47663933747817816</v>
      </c>
      <c r="I72" s="123">
        <f t="shared" si="25"/>
        <v>0.4410026613633256</v>
      </c>
      <c r="J72" s="123">
        <f t="shared" si="25"/>
        <v>0.4136143649278108</v>
      </c>
      <c r="K72" s="54"/>
    </row>
    <row r="73" spans="1:11" ht="12.75">
      <c r="A73" s="21" t="s">
        <v>23</v>
      </c>
      <c r="B73" s="70">
        <f aca="true" t="shared" si="26" ref="B73:J73">IF(B42*6&gt;B5,B5+B69,IF(B42*6&lt;0.6*B5,0.6*B5+B69,B42*6+B69))</f>
        <v>51588992.48906474</v>
      </c>
      <c r="C73" s="77">
        <f t="shared" si="26"/>
        <v>55147462.896</v>
      </c>
      <c r="D73" s="77">
        <f t="shared" si="26"/>
        <v>54221168.82</v>
      </c>
      <c r="E73" s="77">
        <f t="shared" si="26"/>
        <v>55030098.6</v>
      </c>
      <c r="F73" s="77">
        <f t="shared" si="26"/>
        <v>57467337.456</v>
      </c>
      <c r="G73" s="77">
        <f t="shared" si="26"/>
        <v>59610714.968711995</v>
      </c>
      <c r="H73" s="77">
        <f t="shared" si="26"/>
        <v>61886832.72546723</v>
      </c>
      <c r="I73" s="77">
        <f t="shared" si="26"/>
        <v>64425572.80185483</v>
      </c>
      <c r="J73" s="77">
        <f t="shared" si="26"/>
        <v>66004782.5963038</v>
      </c>
      <c r="K73" s="54"/>
    </row>
    <row r="74" spans="1:11" ht="15" customHeight="1">
      <c r="A74" s="21" t="s">
        <v>24</v>
      </c>
      <c r="B74" s="76">
        <f aca="true" t="shared" si="27" ref="B74:J74">B73/B5</f>
        <v>0.6118956695859272</v>
      </c>
      <c r="C74" s="78">
        <f t="shared" si="27"/>
        <v>0.6</v>
      </c>
      <c r="D74" s="78">
        <f t="shared" si="27"/>
        <v>0.6</v>
      </c>
      <c r="E74" s="78">
        <f t="shared" si="27"/>
        <v>0.6</v>
      </c>
      <c r="F74" s="78">
        <f t="shared" si="27"/>
        <v>0.6</v>
      </c>
      <c r="G74" s="78">
        <f t="shared" si="27"/>
        <v>0.6</v>
      </c>
      <c r="H74" s="78">
        <f t="shared" si="27"/>
        <v>0.6</v>
      </c>
      <c r="I74" s="78">
        <f t="shared" si="27"/>
        <v>0.6</v>
      </c>
      <c r="J74" s="78">
        <f t="shared" si="27"/>
        <v>0.6</v>
      </c>
      <c r="K74" s="54"/>
    </row>
    <row r="75" spans="1:11" ht="12.75">
      <c r="A75" s="21" t="s">
        <v>25</v>
      </c>
      <c r="B75" s="70">
        <f aca="true" t="shared" si="28" ref="B75:J75">B73-B71</f>
        <v>9741886.03138946</v>
      </c>
      <c r="C75" s="77">
        <f t="shared" si="28"/>
        <v>16884256.01832471</v>
      </c>
      <c r="D75" s="86">
        <f t="shared" si="28"/>
        <v>11329559.942324713</v>
      </c>
      <c r="E75" s="86">
        <f t="shared" si="28"/>
        <v>7533498.722324714</v>
      </c>
      <c r="F75" s="86">
        <f t="shared" si="28"/>
        <v>8123659.918324716</v>
      </c>
      <c r="G75" s="86">
        <f t="shared" si="28"/>
        <v>9724692.066616729</v>
      </c>
      <c r="H75" s="86">
        <f t="shared" si="28"/>
        <v>12724001.143984668</v>
      </c>
      <c r="I75" s="86">
        <f t="shared" si="28"/>
        <v>17072491.026063718</v>
      </c>
      <c r="J75" s="86">
        <f t="shared" si="28"/>
        <v>20503905.536689773</v>
      </c>
      <c r="K75" s="54"/>
    </row>
    <row r="76" spans="1:11" ht="12.75">
      <c r="A76" s="21" t="s">
        <v>75</v>
      </c>
      <c r="B76" s="70">
        <f>B6+B13+B27+B28+B31+B45+B52+B49</f>
        <v>75685635.33863972</v>
      </c>
      <c r="C76" s="70">
        <f aca="true" t="shared" si="29" ref="C76:J76">C6+C13+C27+C28+C31+C45+C52+C49+C29</f>
        <v>83659716.55</v>
      </c>
      <c r="D76" s="70">
        <f t="shared" si="29"/>
        <v>83835107</v>
      </c>
      <c r="E76" s="70">
        <f t="shared" si="29"/>
        <v>85186329</v>
      </c>
      <c r="F76" s="70">
        <f t="shared" si="29"/>
        <v>89022912.62</v>
      </c>
      <c r="G76" s="70">
        <f t="shared" si="29"/>
        <v>92386187.45774</v>
      </c>
      <c r="H76" s="70">
        <f t="shared" si="29"/>
        <v>95965052.46809898</v>
      </c>
      <c r="I76" s="70">
        <f t="shared" si="29"/>
        <v>99975825.40073764</v>
      </c>
      <c r="J76" s="70">
        <f t="shared" si="29"/>
        <v>102386460.16171712</v>
      </c>
      <c r="K76" s="54"/>
    </row>
    <row r="77" spans="1:13" ht="12.75">
      <c r="A77" s="21" t="s">
        <v>76</v>
      </c>
      <c r="B77" s="76">
        <f aca="true" t="shared" si="30" ref="B77:J77">B68/B76</f>
        <v>0.6062066755783924</v>
      </c>
      <c r="C77" s="76">
        <f t="shared" si="30"/>
        <v>0.5456387972626388</v>
      </c>
      <c r="D77" s="76">
        <f t="shared" si="30"/>
        <v>0.5716046753262363</v>
      </c>
      <c r="E77" s="76">
        <f t="shared" si="30"/>
        <v>0.5624473865715621</v>
      </c>
      <c r="F77" s="76">
        <f t="shared" si="30"/>
        <v>0.5589561665093659</v>
      </c>
      <c r="G77" s="76">
        <f t="shared" si="30"/>
        <v>0.5444780515161217</v>
      </c>
      <c r="H77" s="76">
        <f t="shared" si="30"/>
        <v>0.5182624992627033</v>
      </c>
      <c r="I77" s="76">
        <f t="shared" si="30"/>
        <v>0.49167815476350896</v>
      </c>
      <c r="J77" s="76">
        <f t="shared" si="30"/>
        <v>0.4743228446152676</v>
      </c>
      <c r="K77" s="18"/>
      <c r="L77" s="6"/>
      <c r="M77" s="6"/>
    </row>
    <row r="78" spans="1:13" ht="12.75">
      <c r="A78" s="21" t="s">
        <v>77</v>
      </c>
      <c r="B78" s="70">
        <f aca="true" t="shared" si="31" ref="B78:J78">B76*0.6-B68</f>
        <v>-469756.1844914481</v>
      </c>
      <c r="C78" s="70">
        <f t="shared" si="31"/>
        <v>4547842.812324725</v>
      </c>
      <c r="D78" s="70">
        <f t="shared" si="31"/>
        <v>2380525.082324721</v>
      </c>
      <c r="E78" s="70">
        <f t="shared" si="31"/>
        <v>3198969.282324724</v>
      </c>
      <c r="F78" s="70">
        <f t="shared" si="31"/>
        <v>3653841.6024265513</v>
      </c>
      <c r="G78" s="70">
        <f t="shared" si="31"/>
        <v>5129461.140650563</v>
      </c>
      <c r="H78" s="70">
        <f t="shared" si="31"/>
        <v>7843943.546865962</v>
      </c>
      <c r="I78" s="70">
        <f t="shared" si="31"/>
        <v>10829565.88644915</v>
      </c>
      <c r="J78" s="70">
        <f t="shared" si="31"/>
        <v>12867639.063036837</v>
      </c>
      <c r="K78" s="18"/>
      <c r="L78" s="6"/>
      <c r="M78" s="6"/>
    </row>
    <row r="79" spans="1:13" ht="12.75">
      <c r="A79" s="19"/>
      <c r="B79" s="70"/>
      <c r="C79" s="70"/>
      <c r="D79" s="70"/>
      <c r="E79" s="70"/>
      <c r="F79" s="70"/>
      <c r="G79" s="70"/>
      <c r="H79" s="70"/>
      <c r="I79" s="70"/>
      <c r="J79" s="70"/>
      <c r="K79" s="18"/>
      <c r="L79" s="6"/>
      <c r="M79" s="6"/>
    </row>
    <row r="80" spans="1:13" ht="12.75">
      <c r="A80" s="19" t="s">
        <v>7</v>
      </c>
      <c r="B80" s="77">
        <f aca="true" t="shared" si="32" ref="B80:J80">B58+B59-B64+B65</f>
        <v>-0.10304222593549639</v>
      </c>
      <c r="C80" s="77">
        <f t="shared" si="32"/>
        <v>0</v>
      </c>
      <c r="D80" s="77">
        <f t="shared" si="32"/>
        <v>0</v>
      </c>
      <c r="E80" s="77">
        <f t="shared" si="32"/>
        <v>0</v>
      </c>
      <c r="F80" s="77">
        <f t="shared" si="32"/>
        <v>0</v>
      </c>
      <c r="G80" s="77">
        <f t="shared" si="32"/>
        <v>0</v>
      </c>
      <c r="H80" s="77">
        <f t="shared" si="32"/>
        <v>0</v>
      </c>
      <c r="I80" s="77">
        <f t="shared" si="32"/>
        <v>0</v>
      </c>
      <c r="J80" s="77">
        <f t="shared" si="32"/>
        <v>0</v>
      </c>
      <c r="K80" s="18"/>
      <c r="L80" s="6"/>
      <c r="M80" s="6"/>
    </row>
    <row r="81" spans="1:13" ht="13.5" thickBot="1">
      <c r="A81" s="206"/>
      <c r="B81" s="207"/>
      <c r="C81" s="207"/>
      <c r="D81" s="207"/>
      <c r="E81" s="207"/>
      <c r="F81" s="207"/>
      <c r="G81" s="207"/>
      <c r="H81" s="207"/>
      <c r="I81" s="208"/>
      <c r="J81" s="208"/>
      <c r="K81" s="18"/>
      <c r="L81" s="6"/>
      <c r="M81" s="6"/>
    </row>
    <row r="82" spans="1:10" s="54" customFormat="1" ht="13.5" customHeight="1" thickTop="1">
      <c r="A82" s="19"/>
      <c r="B82" s="20"/>
      <c r="C82" s="190"/>
      <c r="D82" s="191"/>
      <c r="E82" s="191"/>
      <c r="F82" s="191"/>
      <c r="G82" s="191"/>
      <c r="H82" s="191"/>
      <c r="I82" s="56"/>
      <c r="J82" s="56"/>
    </row>
    <row r="83" spans="1:10" s="54" customFormat="1" ht="11.25" customHeight="1">
      <c r="A83" s="21"/>
      <c r="B83" s="192"/>
      <c r="C83" s="192"/>
      <c r="D83" s="192"/>
      <c r="E83" s="192"/>
      <c r="F83" s="192"/>
      <c r="G83" s="192"/>
      <c r="H83" s="192"/>
      <c r="I83" s="139"/>
      <c r="J83" s="139"/>
    </row>
    <row r="84" spans="1:10" s="54" customFormat="1" ht="15.75">
      <c r="A84" s="22"/>
      <c r="B84" s="20"/>
      <c r="C84" s="191"/>
      <c r="D84" s="20"/>
      <c r="E84" s="20"/>
      <c r="F84" s="20"/>
      <c r="G84" s="20"/>
      <c r="H84" s="20"/>
      <c r="I84" s="139"/>
      <c r="J84" s="139"/>
    </row>
    <row r="85" spans="1:10" s="54" customFormat="1" ht="15.75">
      <c r="A85" s="22"/>
      <c r="B85" s="20"/>
      <c r="C85" s="20"/>
      <c r="D85" s="20"/>
      <c r="E85" s="20"/>
      <c r="F85" s="20"/>
      <c r="G85" s="20"/>
      <c r="H85" s="20"/>
      <c r="I85" s="56"/>
      <c r="J85" s="56"/>
    </row>
    <row r="86" spans="1:10" s="54" customFormat="1" ht="15.75">
      <c r="A86" s="22"/>
      <c r="B86" s="20"/>
      <c r="C86" s="20"/>
      <c r="D86" s="20"/>
      <c r="E86" s="20"/>
      <c r="F86" s="20"/>
      <c r="G86" s="20"/>
      <c r="H86" s="20"/>
      <c r="I86" s="56"/>
      <c r="J86" s="56"/>
    </row>
    <row r="87" spans="1:13" s="54" customFormat="1" ht="15.75">
      <c r="A87" s="22"/>
      <c r="B87" s="20"/>
      <c r="C87" s="20"/>
      <c r="D87" s="20"/>
      <c r="E87" s="20"/>
      <c r="F87" s="20"/>
      <c r="G87" s="20"/>
      <c r="H87" s="20"/>
      <c r="I87" s="139"/>
      <c r="J87" s="139"/>
      <c r="M87" s="18"/>
    </row>
    <row r="88" spans="1:13" s="54" customFormat="1" ht="12.75">
      <c r="A88" s="20"/>
      <c r="B88" s="20"/>
      <c r="C88" s="20"/>
      <c r="L88" s="193"/>
      <c r="M88" s="18"/>
    </row>
    <row r="89" spans="1:13" s="54" customFormat="1" ht="15.75">
      <c r="A89" s="22"/>
      <c r="B89" s="20"/>
      <c r="C89" s="20"/>
      <c r="D89" s="20"/>
      <c r="E89" s="20"/>
      <c r="F89" s="20"/>
      <c r="G89" s="20"/>
      <c r="H89" s="20"/>
      <c r="I89" s="56"/>
      <c r="J89" s="56"/>
      <c r="L89" s="193"/>
      <c r="M89" s="18"/>
    </row>
    <row r="90" spans="1:13" s="54" customFormat="1" ht="15.75">
      <c r="A90" s="22"/>
      <c r="B90" s="20"/>
      <c r="C90" s="20"/>
      <c r="D90" s="20"/>
      <c r="E90" s="20"/>
      <c r="F90" s="20"/>
      <c r="G90" s="20"/>
      <c r="H90" s="20"/>
      <c r="I90" s="56"/>
      <c r="J90" s="56"/>
      <c r="L90" s="193"/>
      <c r="M90" s="18"/>
    </row>
    <row r="91" spans="1:10" s="54" customFormat="1" ht="15.75">
      <c r="A91" s="22"/>
      <c r="B91" s="20"/>
      <c r="C91" s="20"/>
      <c r="D91" s="20"/>
      <c r="E91" s="20"/>
      <c r="F91" s="20"/>
      <c r="G91" s="20"/>
      <c r="H91" s="20"/>
      <c r="I91" s="194"/>
      <c r="J91" s="194"/>
    </row>
    <row r="92" spans="1:10" s="54" customFormat="1" ht="15.75">
      <c r="A92" s="22"/>
      <c r="B92" s="20"/>
      <c r="C92" s="20"/>
      <c r="D92" s="20"/>
      <c r="E92" s="20"/>
      <c r="F92" s="20"/>
      <c r="G92" s="20"/>
      <c r="H92" s="20"/>
      <c r="I92" s="194"/>
      <c r="J92" s="194"/>
    </row>
    <row r="93" spans="1:10" s="54" customFormat="1" ht="12.75">
      <c r="A93" s="21"/>
      <c r="B93" s="192"/>
      <c r="C93" s="192"/>
      <c r="D93" s="192"/>
      <c r="E93" s="192"/>
      <c r="F93" s="192"/>
      <c r="G93" s="192"/>
      <c r="H93" s="192"/>
      <c r="I93" s="139"/>
      <c r="J93" s="139"/>
    </row>
    <row r="94" spans="1:10" s="54" customFormat="1" ht="15.75">
      <c r="A94" s="22"/>
      <c r="B94" s="20"/>
      <c r="C94" s="20"/>
      <c r="D94" s="20"/>
      <c r="E94" s="20"/>
      <c r="F94" s="20"/>
      <c r="G94" s="20"/>
      <c r="H94" s="20"/>
      <c r="I94" s="139"/>
      <c r="J94" s="139"/>
    </row>
    <row r="95" spans="1:10" s="54" customFormat="1" ht="15.75">
      <c r="A95" s="22"/>
      <c r="B95" s="20"/>
      <c r="C95" s="20"/>
      <c r="D95" s="20"/>
      <c r="E95" s="20"/>
      <c r="F95" s="20"/>
      <c r="G95" s="20"/>
      <c r="H95" s="20"/>
      <c r="I95" s="56"/>
      <c r="J95" s="56"/>
    </row>
    <row r="96" spans="1:10" s="54" customFormat="1" ht="15.75">
      <c r="A96" s="22"/>
      <c r="B96" s="20"/>
      <c r="C96" s="20"/>
      <c r="D96" s="20"/>
      <c r="E96" s="20"/>
      <c r="F96" s="20"/>
      <c r="G96" s="20"/>
      <c r="H96" s="20"/>
      <c r="I96" s="56"/>
      <c r="J96" s="56"/>
    </row>
    <row r="97" spans="1:5" s="54" customFormat="1" ht="15.75">
      <c r="A97" s="22"/>
      <c r="B97" s="20"/>
      <c r="C97" s="20"/>
      <c r="D97" s="20"/>
      <c r="E97" s="20"/>
    </row>
    <row r="98" spans="1:10" s="54" customFormat="1" ht="15.75">
      <c r="A98" s="22"/>
      <c r="B98" s="20"/>
      <c r="C98" s="20"/>
      <c r="D98" s="20"/>
      <c r="E98" s="20"/>
      <c r="F98" s="20"/>
      <c r="G98" s="20"/>
      <c r="H98" s="20"/>
      <c r="I98" s="56"/>
      <c r="J98" s="56"/>
    </row>
    <row r="99" spans="1:10" s="54" customFormat="1" ht="15.75">
      <c r="A99" s="22"/>
      <c r="B99" s="20"/>
      <c r="C99" s="20"/>
      <c r="D99" s="20"/>
      <c r="E99" s="20"/>
      <c r="F99" s="20"/>
      <c r="G99" s="20"/>
      <c r="H99" s="20"/>
      <c r="I99" s="56"/>
      <c r="J99" s="56"/>
    </row>
    <row r="100" spans="1:10" s="54" customFormat="1" ht="15.75">
      <c r="A100" s="22"/>
      <c r="B100" s="20"/>
      <c r="C100" s="20"/>
      <c r="D100" s="20"/>
      <c r="E100" s="20"/>
      <c r="F100" s="20"/>
      <c r="G100" s="20"/>
      <c r="H100" s="20"/>
      <c r="I100" s="56"/>
      <c r="J100" s="56"/>
    </row>
    <row r="101" spans="1:10" s="54" customFormat="1" ht="12.75">
      <c r="A101" s="23"/>
      <c r="B101" s="20"/>
      <c r="C101" s="20"/>
      <c r="D101" s="20"/>
      <c r="E101" s="20"/>
      <c r="F101" s="20"/>
      <c r="G101" s="20"/>
      <c r="H101" s="20"/>
      <c r="I101" s="56"/>
      <c r="J101" s="56"/>
    </row>
    <row r="102" spans="1:24" s="54" customFormat="1" ht="12.75">
      <c r="A102" s="19"/>
      <c r="B102" s="20"/>
      <c r="C102" s="20"/>
      <c r="D102" s="20"/>
      <c r="E102" s="20"/>
      <c r="F102" s="20"/>
      <c r="G102" s="20"/>
      <c r="H102" s="20"/>
      <c r="I102" s="56"/>
      <c r="J102" s="56"/>
      <c r="K102" s="195"/>
      <c r="L102" s="18"/>
      <c r="M102" s="18"/>
      <c r="N102" s="18"/>
      <c r="O102" s="18"/>
      <c r="P102" s="18"/>
      <c r="T102" s="18"/>
      <c r="U102" s="18"/>
      <c r="V102" s="18"/>
      <c r="W102" s="18"/>
      <c r="X102" s="18"/>
    </row>
    <row r="103" spans="1:24" s="54" customFormat="1" ht="12.75">
      <c r="A103" s="24"/>
      <c r="B103" s="196"/>
      <c r="C103" s="196"/>
      <c r="D103" s="196"/>
      <c r="E103" s="196"/>
      <c r="F103" s="196"/>
      <c r="G103" s="196"/>
      <c r="H103" s="196"/>
      <c r="I103" s="56"/>
      <c r="J103" s="56"/>
      <c r="K103" s="195"/>
      <c r="L103" s="18"/>
      <c r="M103" s="18"/>
      <c r="N103" s="18"/>
      <c r="O103" s="18"/>
      <c r="P103" s="18"/>
      <c r="T103" s="18"/>
      <c r="U103" s="18"/>
      <c r="V103" s="18"/>
      <c r="W103" s="18"/>
      <c r="X103" s="18"/>
    </row>
    <row r="104" spans="1:24" s="54" customFormat="1" ht="12.75" customHeight="1">
      <c r="A104" s="24"/>
      <c r="B104" s="196"/>
      <c r="C104" s="196"/>
      <c r="D104" s="196"/>
      <c r="E104" s="196"/>
      <c r="F104" s="196"/>
      <c r="G104" s="196"/>
      <c r="H104" s="196"/>
      <c r="I104" s="197"/>
      <c r="J104" s="197"/>
      <c r="K104" s="195"/>
      <c r="L104" s="18"/>
      <c r="M104" s="18"/>
      <c r="N104" s="18"/>
      <c r="O104" s="18"/>
      <c r="P104" s="18"/>
      <c r="T104" s="18"/>
      <c r="U104" s="18"/>
      <c r="V104" s="18"/>
      <c r="W104" s="18"/>
      <c r="X104" s="18"/>
    </row>
    <row r="105" spans="1:16" s="54" customFormat="1" ht="12.75">
      <c r="A105" s="26"/>
      <c r="B105" s="198"/>
      <c r="C105" s="198"/>
      <c r="D105" s="198"/>
      <c r="E105" s="198"/>
      <c r="F105" s="198"/>
      <c r="G105" s="198"/>
      <c r="H105" s="198"/>
      <c r="I105" s="199"/>
      <c r="J105" s="199"/>
      <c r="K105" s="195"/>
      <c r="L105" s="18"/>
      <c r="M105" s="18"/>
      <c r="N105" s="18"/>
      <c r="O105" s="18"/>
      <c r="P105" s="18"/>
    </row>
    <row r="106" spans="1:16" s="54" customFormat="1" ht="15.75" customHeight="1">
      <c r="A106" s="56"/>
      <c r="B106" s="56"/>
      <c r="C106" s="56"/>
      <c r="D106" s="56"/>
      <c r="E106" s="56"/>
      <c r="F106" s="56"/>
      <c r="G106" s="56"/>
      <c r="H106" s="56"/>
      <c r="I106" s="197"/>
      <c r="J106" s="197"/>
      <c r="K106" s="200"/>
      <c r="L106" s="18"/>
      <c r="M106" s="18"/>
      <c r="N106" s="18"/>
      <c r="O106" s="18"/>
      <c r="P106" s="18"/>
    </row>
    <row r="107" spans="1:16" s="54" customFormat="1" ht="13.5" customHeight="1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200"/>
      <c r="L107" s="18"/>
      <c r="M107" s="18"/>
      <c r="N107" s="18"/>
      <c r="O107" s="18"/>
      <c r="P107" s="18"/>
    </row>
    <row r="108" spans="1:16" s="54" customFormat="1" ht="13.5" customHeight="1">
      <c r="A108" s="56"/>
      <c r="B108" s="56"/>
      <c r="C108" s="56"/>
      <c r="D108" s="56"/>
      <c r="E108" s="56"/>
      <c r="F108" s="56"/>
      <c r="G108" s="56"/>
      <c r="H108" s="56"/>
      <c r="I108" s="201"/>
      <c r="J108" s="201"/>
      <c r="L108" s="202"/>
      <c r="M108" s="202"/>
      <c r="N108" s="202"/>
      <c r="O108" s="202"/>
      <c r="P108" s="202"/>
    </row>
    <row r="109" spans="1:11" s="54" customFormat="1" ht="13.5" customHeight="1">
      <c r="A109" s="56"/>
      <c r="B109" s="56"/>
      <c r="C109" s="139"/>
      <c r="D109" s="56"/>
      <c r="E109" s="56"/>
      <c r="F109" s="56"/>
      <c r="G109" s="56"/>
      <c r="H109" s="56"/>
      <c r="I109" s="199"/>
      <c r="J109" s="199"/>
      <c r="K109" s="25"/>
    </row>
    <row r="110" spans="1:12" s="54" customFormat="1" ht="13.5" customHeight="1">
      <c r="A110" s="56"/>
      <c r="B110" s="56"/>
      <c r="C110" s="139"/>
      <c r="D110" s="203"/>
      <c r="E110" s="203"/>
      <c r="F110" s="203"/>
      <c r="G110" s="203"/>
      <c r="H110" s="203"/>
      <c r="I110" s="197"/>
      <c r="J110" s="197"/>
      <c r="K110" s="25"/>
      <c r="L110" s="202"/>
    </row>
    <row r="111" spans="1:26" s="54" customFormat="1" ht="13.5" customHeight="1">
      <c r="A111" s="56"/>
      <c r="B111" s="56"/>
      <c r="C111" s="56"/>
      <c r="D111" s="204"/>
      <c r="E111" s="204"/>
      <c r="F111" s="204"/>
      <c r="G111" s="204"/>
      <c r="H111" s="204"/>
      <c r="I111" s="199"/>
      <c r="J111" s="199"/>
      <c r="V111" s="193"/>
      <c r="W111" s="193"/>
      <c r="X111" s="193"/>
      <c r="Y111" s="193"/>
      <c r="Z111" s="193"/>
    </row>
    <row r="112" spans="1:26" s="54" customFormat="1" ht="13.5" customHeight="1">
      <c r="A112" s="56"/>
      <c r="B112" s="56"/>
      <c r="C112" s="56"/>
      <c r="D112" s="203"/>
      <c r="E112" s="203"/>
      <c r="F112" s="203"/>
      <c r="G112" s="203"/>
      <c r="H112" s="203"/>
      <c r="I112" s="197"/>
      <c r="J112" s="197"/>
      <c r="K112" s="25"/>
      <c r="L112" s="202"/>
      <c r="V112" s="193"/>
      <c r="W112" s="193"/>
      <c r="X112" s="193"/>
      <c r="Y112" s="193"/>
      <c r="Z112" s="193"/>
    </row>
    <row r="113" spans="9:26" s="54" customFormat="1" ht="13.5" customHeight="1">
      <c r="I113" s="199"/>
      <c r="J113" s="199"/>
      <c r="K113" s="25"/>
      <c r="V113" s="193"/>
      <c r="W113" s="193"/>
      <c r="X113" s="193"/>
      <c r="Y113" s="193"/>
      <c r="Z113" s="193"/>
    </row>
    <row r="114" spans="9:15" s="54" customFormat="1" ht="13.5" customHeight="1">
      <c r="I114" s="197"/>
      <c r="J114" s="197"/>
      <c r="K114" s="25"/>
      <c r="M114" s="56"/>
      <c r="N114" s="56"/>
      <c r="O114" s="56"/>
    </row>
    <row r="115" spans="9:15" s="54" customFormat="1" ht="13.5" customHeight="1">
      <c r="I115" s="56"/>
      <c r="J115" s="56"/>
      <c r="K115" s="25"/>
      <c r="M115" s="56"/>
      <c r="N115" s="56"/>
      <c r="O115" s="56"/>
    </row>
    <row r="116" spans="9:15" s="54" customFormat="1" ht="13.5" customHeight="1">
      <c r="I116" s="199"/>
      <c r="J116" s="199"/>
      <c r="K116" s="25"/>
      <c r="M116" s="56"/>
      <c r="N116" s="56"/>
      <c r="O116" s="56"/>
    </row>
    <row r="117" spans="9:15" s="54" customFormat="1" ht="13.5" customHeight="1">
      <c r="I117" s="199"/>
      <c r="J117" s="199"/>
      <c r="M117" s="56"/>
      <c r="N117" s="56"/>
      <c r="O117" s="56"/>
    </row>
    <row r="118" spans="9:11" s="54" customFormat="1" ht="18" customHeight="1">
      <c r="I118" s="197"/>
      <c r="J118" s="197"/>
      <c r="K118" s="25"/>
    </row>
    <row r="119" spans="9:11" s="54" customFormat="1" ht="12.75">
      <c r="I119" s="199"/>
      <c r="J119" s="199"/>
      <c r="K119" s="25"/>
    </row>
    <row r="120" spans="1:12" s="205" customFormat="1" ht="12.75">
      <c r="A120" s="54"/>
      <c r="B120" s="54"/>
      <c r="C120" s="54"/>
      <c r="D120" s="54"/>
      <c r="E120" s="54"/>
      <c r="F120" s="54"/>
      <c r="G120" s="54"/>
      <c r="H120" s="54"/>
      <c r="I120" s="197"/>
      <c r="J120" s="197"/>
      <c r="K120" s="25"/>
      <c r="L120" s="202"/>
    </row>
    <row r="121" spans="9:11" s="54" customFormat="1" ht="12.75">
      <c r="I121" s="199"/>
      <c r="J121" s="199"/>
      <c r="K121" s="25"/>
    </row>
    <row r="122" spans="9:11" s="54" customFormat="1" ht="12.75">
      <c r="I122" s="56"/>
      <c r="J122" s="56"/>
      <c r="K122" s="25"/>
    </row>
    <row r="123" spans="9:12" s="54" customFormat="1" ht="12.75">
      <c r="I123" s="56"/>
      <c r="J123" s="56"/>
      <c r="K123" s="25"/>
      <c r="L123" s="202"/>
    </row>
    <row r="124" spans="9:11" s="54" customFormat="1" ht="12.75">
      <c r="I124" s="201"/>
      <c r="J124" s="201"/>
      <c r="K124" s="25"/>
    </row>
    <row r="125" spans="9:10" s="54" customFormat="1" ht="12.75">
      <c r="I125" s="56"/>
      <c r="J125" s="56"/>
    </row>
    <row r="126" spans="9:10" s="54" customFormat="1" ht="12.75">
      <c r="I126" s="56"/>
      <c r="J126" s="56"/>
    </row>
    <row r="127" spans="9:10" s="54" customFormat="1" ht="12.75">
      <c r="I127" s="56"/>
      <c r="J127" s="56"/>
    </row>
    <row r="128" spans="9:10" s="54" customFormat="1" ht="12.75">
      <c r="I128" s="56"/>
      <c r="J128" s="56"/>
    </row>
    <row r="129" spans="9:10" s="54" customFormat="1" ht="12.75">
      <c r="I129" s="56"/>
      <c r="J129" s="56"/>
    </row>
    <row r="130" spans="9:10" s="54" customFormat="1" ht="12.75">
      <c r="I130" s="56"/>
      <c r="J130" s="56"/>
    </row>
    <row r="131" spans="9:10" s="54" customFormat="1" ht="12.75">
      <c r="I131" s="56"/>
      <c r="J131" s="56"/>
    </row>
    <row r="132" spans="9:10" s="54" customFormat="1" ht="12.75">
      <c r="I132" s="56"/>
      <c r="J132" s="56"/>
    </row>
    <row r="133" spans="9:10" s="54" customFormat="1" ht="12.75">
      <c r="I133" s="56"/>
      <c r="J133" s="56"/>
    </row>
    <row r="134" spans="9:10" s="54" customFormat="1" ht="12.75">
      <c r="I134" s="56"/>
      <c r="J134" s="56"/>
    </row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  <row r="359" s="54" customFormat="1" ht="12.75"/>
    <row r="360" s="54" customFormat="1" ht="12.75"/>
    <row r="361" s="54" customFormat="1" ht="12.75"/>
    <row r="362" s="54" customFormat="1" ht="12.75"/>
    <row r="363" s="54" customFormat="1" ht="12.75"/>
    <row r="364" s="54" customFormat="1" ht="12.75"/>
    <row r="365" s="54" customFormat="1" ht="12.75"/>
    <row r="366" s="54" customFormat="1" ht="12.75"/>
    <row r="367" s="54" customFormat="1" ht="12.75"/>
    <row r="368" s="54" customFormat="1" ht="12.75"/>
    <row r="369" s="54" customFormat="1" ht="12.75"/>
    <row r="370" s="54" customFormat="1" ht="12.75"/>
    <row r="371" s="54" customFormat="1" ht="12.75"/>
    <row r="372" s="54" customFormat="1" ht="12.75"/>
    <row r="373" s="54" customFormat="1" ht="12.75"/>
    <row r="374" s="54" customFormat="1" ht="12.75"/>
    <row r="375" s="54" customFormat="1" ht="12.75"/>
    <row r="376" s="54" customFormat="1" ht="12.75"/>
    <row r="377" s="54" customFormat="1" ht="12.75"/>
    <row r="378" s="54" customFormat="1" ht="12.75"/>
    <row r="379" s="54" customFormat="1" ht="12.75"/>
    <row r="380" s="54" customFormat="1" ht="12.75"/>
    <row r="381" s="54" customFormat="1" ht="12.75"/>
    <row r="382" s="54" customFormat="1" ht="12.75"/>
    <row r="383" s="54" customFormat="1" ht="12.75"/>
    <row r="384" s="54" customFormat="1" ht="12.75"/>
    <row r="385" s="54" customFormat="1" ht="12.75"/>
    <row r="386" s="54" customFormat="1" ht="12.75"/>
    <row r="387" s="54" customFormat="1" ht="12.75"/>
    <row r="388" s="54" customFormat="1" ht="12.75"/>
    <row r="389" s="54" customFormat="1" ht="12.75"/>
    <row r="390" s="54" customFormat="1" ht="12.75"/>
    <row r="391" s="54" customFormat="1" ht="12.75"/>
    <row r="392" s="54" customFormat="1" ht="12.75"/>
    <row r="393" s="54" customFormat="1" ht="12.75"/>
    <row r="394" s="54" customFormat="1" ht="12.75"/>
    <row r="395" s="54" customFormat="1" ht="12.75"/>
    <row r="396" s="54" customFormat="1" ht="12.75"/>
    <row r="397" s="54" customFormat="1" ht="12.75"/>
    <row r="398" s="54" customFormat="1" ht="12.75"/>
    <row r="399" s="54" customFormat="1" ht="12.75"/>
    <row r="400" s="54" customFormat="1" ht="12.75"/>
    <row r="401" s="54" customFormat="1" ht="12.75"/>
    <row r="402" s="54" customFormat="1" ht="12.75"/>
    <row r="403" s="54" customFormat="1" ht="12.75"/>
    <row r="404" s="54" customFormat="1" ht="12.75"/>
    <row r="405" s="54" customFormat="1" ht="12.75"/>
    <row r="406" s="54" customFormat="1" ht="12.75"/>
    <row r="407" s="54" customFormat="1" ht="12.75"/>
    <row r="408" s="54" customFormat="1" ht="12.75"/>
    <row r="409" s="54" customFormat="1" ht="12.75"/>
    <row r="410" s="54" customFormat="1" ht="12.75"/>
    <row r="411" s="54" customFormat="1" ht="12.75"/>
    <row r="412" s="54" customFormat="1" ht="12.75"/>
    <row r="413" s="54" customFormat="1" ht="12.75"/>
    <row r="414" s="54" customFormat="1" ht="12.75"/>
    <row r="415" s="54" customFormat="1" ht="12.75"/>
    <row r="416" s="54" customFormat="1" ht="12.75"/>
    <row r="417" s="54" customFormat="1" ht="12.75"/>
    <row r="418" s="54" customFormat="1" ht="12.75"/>
    <row r="419" s="54" customFormat="1" ht="12.75"/>
    <row r="420" s="54" customFormat="1" ht="12.75"/>
    <row r="421" s="54" customFormat="1" ht="12.75"/>
    <row r="422" s="54" customFormat="1" ht="12.75"/>
    <row r="423" s="54" customFormat="1" ht="12.75"/>
    <row r="424" s="54" customFormat="1" ht="12.75"/>
    <row r="425" s="54" customFormat="1" ht="12.75"/>
    <row r="426" s="54" customFormat="1" ht="12.75"/>
    <row r="427" s="54" customFormat="1" ht="12.75"/>
    <row r="428" s="54" customFormat="1" ht="12.75"/>
    <row r="429" s="54" customFormat="1" ht="12.75"/>
    <row r="430" s="54" customFormat="1" ht="12.75"/>
    <row r="431" s="54" customFormat="1" ht="12.75"/>
    <row r="432" s="54" customFormat="1" ht="12.75"/>
    <row r="433" s="54" customFormat="1" ht="12.75"/>
    <row r="434" s="54" customFormat="1" ht="12.75"/>
    <row r="435" s="54" customFormat="1" ht="12.75"/>
    <row r="436" s="54" customFormat="1" ht="12.75"/>
    <row r="437" s="54" customFormat="1" ht="12.75"/>
    <row r="438" s="54" customFormat="1" ht="12.75"/>
    <row r="439" s="54" customFormat="1" ht="12.75"/>
    <row r="440" s="54" customFormat="1" ht="12.75"/>
    <row r="441" s="54" customFormat="1" ht="12.75"/>
    <row r="442" s="54" customFormat="1" ht="12.75"/>
    <row r="443" s="54" customFormat="1" ht="12.75"/>
    <row r="444" s="54" customFormat="1" ht="12.75"/>
    <row r="445" s="54" customFormat="1" ht="12.75"/>
    <row r="446" s="54" customFormat="1" ht="12.75"/>
    <row r="447" s="54" customFormat="1" ht="12.75"/>
    <row r="448" s="54" customFormat="1" ht="12.75"/>
    <row r="449" s="54" customFormat="1" ht="12.75"/>
    <row r="450" s="54" customFormat="1" ht="12.75"/>
    <row r="451" s="54" customFormat="1" ht="12.75"/>
    <row r="452" s="54" customFormat="1" ht="12.75"/>
    <row r="453" s="54" customFormat="1" ht="12.75"/>
    <row r="454" s="54" customFormat="1" ht="12.75"/>
    <row r="455" s="54" customFormat="1" ht="12.75"/>
    <row r="456" s="54" customFormat="1" ht="12.75"/>
    <row r="457" s="54" customFormat="1" ht="12.75"/>
    <row r="458" s="54" customFormat="1" ht="12.75"/>
    <row r="459" s="54" customFormat="1" ht="12.75"/>
    <row r="460" s="54" customFormat="1" ht="12.75"/>
    <row r="461" s="54" customFormat="1" ht="12.75"/>
    <row r="462" s="54" customFormat="1" ht="12.75"/>
    <row r="463" s="54" customFormat="1" ht="12.75"/>
    <row r="464" s="54" customFormat="1" ht="12.75"/>
    <row r="465" s="54" customFormat="1" ht="12.75"/>
    <row r="466" s="54" customFormat="1" ht="12.75"/>
    <row r="467" s="54" customFormat="1" ht="12.75"/>
    <row r="468" s="54" customFormat="1" ht="12.75"/>
    <row r="469" s="54" customFormat="1" ht="12.75"/>
    <row r="470" s="54" customFormat="1" ht="12.75"/>
    <row r="471" s="54" customFormat="1" ht="12.75"/>
    <row r="472" s="54" customFormat="1" ht="12.75"/>
    <row r="473" s="54" customFormat="1" ht="12.75"/>
    <row r="474" s="54" customFormat="1" ht="12.75"/>
    <row r="475" s="54" customFormat="1" ht="12.75"/>
    <row r="476" s="54" customFormat="1" ht="12.75"/>
    <row r="477" s="54" customFormat="1" ht="12.75"/>
    <row r="478" s="54" customFormat="1" ht="12.75"/>
    <row r="479" s="54" customFormat="1" ht="12.75"/>
    <row r="480" s="54" customFormat="1" ht="12.75"/>
    <row r="481" s="54" customFormat="1" ht="12.75"/>
    <row r="482" s="54" customFormat="1" ht="12.75"/>
    <row r="483" s="54" customFormat="1" ht="12.75"/>
    <row r="484" s="54" customFormat="1" ht="12.75"/>
    <row r="485" s="54" customFormat="1" ht="12.75"/>
    <row r="486" s="54" customFormat="1" ht="12.75"/>
    <row r="487" s="54" customFormat="1" ht="12.75"/>
    <row r="488" s="54" customFormat="1" ht="12.75"/>
    <row r="489" s="54" customFormat="1" ht="12.75"/>
    <row r="490" s="54" customFormat="1" ht="12.75"/>
    <row r="491" s="54" customFormat="1" ht="12.75"/>
    <row r="492" s="54" customFormat="1" ht="12.75"/>
    <row r="493" s="54" customFormat="1" ht="12.75"/>
    <row r="494" s="54" customFormat="1" ht="12.75"/>
    <row r="495" s="54" customFormat="1" ht="12.75"/>
    <row r="496" s="54" customFormat="1" ht="12.75"/>
    <row r="497" s="54" customFormat="1" ht="12.75"/>
    <row r="498" s="54" customFormat="1" ht="12.75"/>
    <row r="499" s="54" customFormat="1" ht="12.75"/>
    <row r="500" s="54" customFormat="1" ht="12.75"/>
    <row r="501" s="54" customFormat="1" ht="12.75"/>
    <row r="502" s="54" customFormat="1" ht="12.75"/>
    <row r="503" s="54" customFormat="1" ht="12.75"/>
    <row r="504" s="54" customFormat="1" ht="12.75"/>
    <row r="505" s="54" customFormat="1" ht="12.75"/>
    <row r="506" s="54" customFormat="1" ht="12.75"/>
    <row r="507" s="54" customFormat="1" ht="12.75"/>
    <row r="508" s="54" customFormat="1" ht="12.75"/>
    <row r="509" s="54" customFormat="1" ht="12.75"/>
    <row r="510" s="54" customFormat="1" ht="12.75"/>
    <row r="511" s="54" customFormat="1" ht="12.75"/>
    <row r="512" s="54" customFormat="1" ht="12.75"/>
    <row r="513" s="54" customFormat="1" ht="12.75"/>
    <row r="514" s="54" customFormat="1" ht="12.75"/>
    <row r="515" s="54" customFormat="1" ht="12.75"/>
    <row r="516" s="54" customFormat="1" ht="12.75"/>
    <row r="517" s="54" customFormat="1" ht="12.75"/>
    <row r="518" s="54" customFormat="1" ht="12.75"/>
    <row r="519" s="54" customFormat="1" ht="12.75"/>
    <row r="520" s="54" customFormat="1" ht="12.75"/>
    <row r="521" s="54" customFormat="1" ht="12.75"/>
    <row r="522" s="54" customFormat="1" ht="12.75"/>
    <row r="523" s="54" customFormat="1" ht="12.75"/>
    <row r="524" s="54" customFormat="1" ht="12.75"/>
    <row r="525" s="54" customFormat="1" ht="12.75"/>
    <row r="526" s="54" customFormat="1" ht="12.75"/>
    <row r="527" s="54" customFormat="1" ht="12.75"/>
    <row r="528" s="54" customFormat="1" ht="12.75"/>
    <row r="529" s="54" customFormat="1" ht="12.75"/>
    <row r="530" s="54" customFormat="1" ht="12.75"/>
    <row r="531" s="54" customFormat="1" ht="12.75"/>
    <row r="532" s="54" customFormat="1" ht="12.75"/>
    <row r="533" s="54" customFormat="1" ht="12.75"/>
    <row r="534" s="54" customFormat="1" ht="12.75"/>
    <row r="535" s="54" customFormat="1" ht="12.75"/>
    <row r="536" s="54" customFormat="1" ht="12.75"/>
    <row r="537" s="54" customFormat="1" ht="12.75"/>
    <row r="538" s="54" customFormat="1" ht="12.75"/>
    <row r="539" s="54" customFormat="1" ht="12.75"/>
    <row r="540" s="54" customFormat="1" ht="12.75"/>
    <row r="541" s="54" customFormat="1" ht="12.75"/>
    <row r="542" s="54" customFormat="1" ht="12.75"/>
    <row r="543" s="54" customFormat="1" ht="12.75"/>
    <row r="544" s="54" customFormat="1" ht="12.75"/>
    <row r="545" s="54" customFormat="1" ht="12.75"/>
    <row r="546" s="54" customFormat="1" ht="12.75"/>
    <row r="547" s="54" customFormat="1" ht="12.75"/>
    <row r="548" s="54" customFormat="1" ht="12.75"/>
    <row r="549" s="54" customFormat="1" ht="12.75"/>
    <row r="550" s="54" customFormat="1" ht="12.75"/>
    <row r="551" s="54" customFormat="1" ht="12.75"/>
    <row r="552" s="54" customFormat="1" ht="12.75"/>
    <row r="553" s="54" customFormat="1" ht="12.75"/>
    <row r="554" s="54" customFormat="1" ht="12.75"/>
    <row r="555" s="54" customFormat="1" ht="12.75"/>
    <row r="556" s="54" customFormat="1" ht="12.75"/>
    <row r="557" s="54" customFormat="1" ht="12.75"/>
    <row r="558" s="54" customFormat="1" ht="12.75"/>
    <row r="559" s="54" customFormat="1" ht="12.75"/>
    <row r="560" s="54" customFormat="1" ht="12.75"/>
    <row r="561" s="54" customFormat="1" ht="12.75"/>
    <row r="562" s="54" customFormat="1" ht="12.75"/>
    <row r="563" s="54" customFormat="1" ht="12.75"/>
    <row r="564" s="54" customFormat="1" ht="12.75"/>
    <row r="565" s="54" customFormat="1" ht="12.75"/>
    <row r="566" s="54" customFormat="1" ht="12.75"/>
    <row r="567" s="54" customFormat="1" ht="12.75"/>
    <row r="568" s="54" customFormat="1" ht="12.75"/>
    <row r="569" s="54" customFormat="1" ht="12.75"/>
    <row r="570" s="54" customFormat="1" ht="12.75"/>
    <row r="571" s="54" customFormat="1" ht="12.75"/>
    <row r="572" s="54" customFormat="1" ht="12.75"/>
    <row r="573" s="54" customFormat="1" ht="12.75"/>
    <row r="574" s="54" customFormat="1" ht="12.75"/>
    <row r="575" s="54" customFormat="1" ht="12.75"/>
    <row r="576" s="54" customFormat="1" ht="12.75"/>
    <row r="577" s="54" customFormat="1" ht="12.75"/>
    <row r="578" s="54" customFormat="1" ht="12.75"/>
    <row r="579" s="54" customFormat="1" ht="12.75"/>
    <row r="580" s="54" customFormat="1" ht="12.75"/>
    <row r="581" s="54" customFormat="1" ht="12.75"/>
    <row r="582" s="54" customFormat="1" ht="12.75"/>
    <row r="583" s="54" customFormat="1" ht="12.75"/>
    <row r="584" s="54" customFormat="1" ht="12.75"/>
    <row r="585" s="54" customFormat="1" ht="12.75"/>
    <row r="586" s="54" customFormat="1" ht="12.75"/>
    <row r="587" s="54" customFormat="1" ht="12.75"/>
    <row r="588" s="54" customFormat="1" ht="12.75"/>
    <row r="589" s="54" customFormat="1" ht="12.75"/>
    <row r="590" s="54" customFormat="1" ht="12.75"/>
    <row r="591" s="54" customFormat="1" ht="12.75"/>
    <row r="592" s="54" customFormat="1" ht="12.75"/>
    <row r="593" s="54" customFormat="1" ht="12.75"/>
    <row r="594" s="54" customFormat="1" ht="12.75"/>
    <row r="595" s="54" customFormat="1" ht="12.75"/>
    <row r="596" s="54" customFormat="1" ht="12.75"/>
    <row r="597" s="54" customFormat="1" ht="12.75"/>
    <row r="598" s="54" customFormat="1" ht="12.75"/>
    <row r="599" s="54" customFormat="1" ht="12.75"/>
    <row r="600" s="54" customFormat="1" ht="12.75"/>
    <row r="601" s="54" customFormat="1" ht="12.75"/>
    <row r="602" s="54" customFormat="1" ht="12.75"/>
    <row r="603" s="54" customFormat="1" ht="12.75"/>
    <row r="604" s="54" customFormat="1" ht="12.75"/>
    <row r="605" s="54" customFormat="1" ht="12.75"/>
    <row r="606" s="54" customFormat="1" ht="12.75"/>
    <row r="607" s="54" customFormat="1" ht="12.75"/>
    <row r="608" s="54" customFormat="1" ht="12.75"/>
    <row r="609" s="54" customFormat="1" ht="12.75"/>
    <row r="610" s="54" customFormat="1" ht="12.75"/>
    <row r="611" s="54" customFormat="1" ht="12.75"/>
    <row r="612" s="54" customFormat="1" ht="12.75"/>
    <row r="613" s="54" customFormat="1" ht="12.75"/>
    <row r="614" s="54" customFormat="1" ht="12.75"/>
    <row r="615" s="54" customFormat="1" ht="12.75"/>
    <row r="616" s="54" customFormat="1" ht="12.75"/>
    <row r="617" s="54" customFormat="1" ht="12.75"/>
    <row r="618" s="54" customFormat="1" ht="12.75"/>
    <row r="619" s="54" customFormat="1" ht="12.75"/>
    <row r="620" s="54" customFormat="1" ht="12.75"/>
    <row r="621" s="54" customFormat="1" ht="12.75"/>
    <row r="622" s="54" customFormat="1" ht="12.75"/>
    <row r="623" s="54" customFormat="1" ht="12.75"/>
  </sheetData>
  <sheetProtection/>
  <mergeCells count="1">
    <mergeCell ref="A1:J1"/>
  </mergeCells>
  <conditionalFormatting sqref="B75:C78 D76:H78">
    <cfRule type="cellIs" priority="3" dxfId="0" operator="lessThan" stopIfTrue="1">
      <formula>0</formula>
    </cfRule>
  </conditionalFormatting>
  <conditionalFormatting sqref="I76:I78">
    <cfRule type="cellIs" priority="2" dxfId="0" operator="lessThan" stopIfTrue="1">
      <formula>0</formula>
    </cfRule>
  </conditionalFormatting>
  <conditionalFormatting sqref="J76:J7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fitToHeight="2" fitToWidth="1"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45.7109375" style="5" customWidth="1"/>
    <col min="2" max="2" width="11.28125" style="5" bestFit="1" customWidth="1"/>
    <col min="3" max="3" width="11.28125" style="5" customWidth="1"/>
    <col min="4" max="5" width="11.421875" style="5" customWidth="1"/>
    <col min="6" max="7" width="11.7109375" style="5" bestFit="1" customWidth="1"/>
    <col min="8" max="8" width="12.8515625" style="6" bestFit="1" customWidth="1"/>
    <col min="9" max="9" width="9.7109375" style="5" customWidth="1"/>
    <col min="10" max="10" width="8.7109375" style="5" customWidth="1"/>
    <col min="11" max="16384" width="9.140625" style="5" customWidth="1"/>
  </cols>
  <sheetData>
    <row r="1" spans="1:8" ht="15.75">
      <c r="A1" s="226" t="s">
        <v>161</v>
      </c>
      <c r="B1" s="226"/>
      <c r="C1" s="226"/>
      <c r="D1" s="226"/>
      <c r="E1" s="226"/>
      <c r="F1" s="226"/>
      <c r="G1" s="226"/>
      <c r="H1" s="226"/>
    </row>
    <row r="3" ht="13.5" thickBot="1"/>
    <row r="4" spans="1:8" ht="48" customHeight="1" thickBot="1">
      <c r="A4" s="159" t="s">
        <v>83</v>
      </c>
      <c r="B4" s="160" t="s">
        <v>82</v>
      </c>
      <c r="C4" s="160" t="s">
        <v>81</v>
      </c>
      <c r="D4" s="160">
        <v>2013</v>
      </c>
      <c r="E4" s="160">
        <v>2014</v>
      </c>
      <c r="F4" s="161">
        <v>2015</v>
      </c>
      <c r="G4" s="162">
        <v>2016</v>
      </c>
      <c r="H4" s="163">
        <v>2017</v>
      </c>
    </row>
    <row r="5" spans="1:8" ht="13.5" thickBot="1">
      <c r="A5" s="168" t="s">
        <v>139</v>
      </c>
      <c r="B5" s="169"/>
      <c r="C5" s="160"/>
      <c r="D5" s="160"/>
      <c r="E5" s="160"/>
      <c r="F5" s="161"/>
      <c r="G5" s="170"/>
      <c r="H5" s="171"/>
    </row>
    <row r="6" spans="1:8" ht="25.5">
      <c r="A6" s="172" t="s">
        <v>107</v>
      </c>
      <c r="B6" s="173">
        <f aca="true" t="shared" si="0" ref="B6:G6">SUM(B7:B8)</f>
        <v>7108.15</v>
      </c>
      <c r="C6" s="173">
        <f t="shared" si="0"/>
        <v>1326395</v>
      </c>
      <c r="D6" s="173">
        <f t="shared" si="0"/>
        <v>800000</v>
      </c>
      <c r="E6" s="173">
        <f t="shared" si="0"/>
        <v>487</v>
      </c>
      <c r="F6" s="173">
        <f t="shared" si="0"/>
        <v>0</v>
      </c>
      <c r="G6" s="174">
        <f t="shared" si="0"/>
        <v>0</v>
      </c>
      <c r="H6" s="174">
        <f>SUM(H7:H8)</f>
        <v>0</v>
      </c>
    </row>
    <row r="7" spans="1:8" ht="12.75">
      <c r="A7" s="175" t="s">
        <v>28</v>
      </c>
      <c r="B7" s="176">
        <f>'[2]inv 2011'!G70</f>
        <v>0</v>
      </c>
      <c r="C7" s="177">
        <v>1296395</v>
      </c>
      <c r="D7" s="177">
        <v>680000</v>
      </c>
      <c r="E7" s="165">
        <v>413.95</v>
      </c>
      <c r="F7" s="165"/>
      <c r="G7" s="178"/>
      <c r="H7" s="178"/>
    </row>
    <row r="8" spans="1:8" ht="12.75">
      <c r="A8" s="175" t="s">
        <v>29</v>
      </c>
      <c r="B8" s="176">
        <f>'[2]inv 2011'!F70-'[2]inv 2011'!G70</f>
        <v>7108.15</v>
      </c>
      <c r="C8" s="177">
        <v>30000</v>
      </c>
      <c r="D8" s="177">
        <v>120000</v>
      </c>
      <c r="E8" s="165">
        <v>73.05</v>
      </c>
      <c r="F8" s="165"/>
      <c r="G8" s="178"/>
      <c r="H8" s="178"/>
    </row>
    <row r="9" spans="1:8" ht="13.5" customHeight="1">
      <c r="A9" s="179" t="s">
        <v>108</v>
      </c>
      <c r="B9" s="173">
        <f aca="true" t="shared" si="1" ref="B9:G9">SUM(B10:B11)</f>
        <v>0</v>
      </c>
      <c r="C9" s="173">
        <f t="shared" si="1"/>
        <v>0</v>
      </c>
      <c r="D9" s="173">
        <f t="shared" si="1"/>
        <v>340000</v>
      </c>
      <c r="E9" s="173">
        <f t="shared" si="1"/>
        <v>147000</v>
      </c>
      <c r="F9" s="173">
        <f t="shared" si="1"/>
        <v>0</v>
      </c>
      <c r="G9" s="174">
        <f t="shared" si="1"/>
        <v>0</v>
      </c>
      <c r="H9" s="174">
        <f>SUM(H10:H11)</f>
        <v>0</v>
      </c>
    </row>
    <row r="10" spans="1:8" ht="13.5" customHeight="1">
      <c r="A10" s="175" t="s">
        <v>28</v>
      </c>
      <c r="B10" s="176"/>
      <c r="C10" s="177"/>
      <c r="D10" s="177">
        <v>289000</v>
      </c>
      <c r="E10" s="165">
        <v>124950</v>
      </c>
      <c r="F10" s="165"/>
      <c r="G10" s="178"/>
      <c r="H10" s="178"/>
    </row>
    <row r="11" spans="1:8" ht="13.5" customHeight="1">
      <c r="A11" s="175" t="s">
        <v>29</v>
      </c>
      <c r="B11" s="176"/>
      <c r="C11" s="177"/>
      <c r="D11" s="177">
        <v>51000</v>
      </c>
      <c r="E11" s="165">
        <v>22050</v>
      </c>
      <c r="F11" s="165"/>
      <c r="G11" s="178"/>
      <c r="H11" s="178"/>
    </row>
    <row r="12" spans="1:8" ht="13.5" customHeight="1">
      <c r="A12" s="180" t="s">
        <v>109</v>
      </c>
      <c r="B12" s="173">
        <f aca="true" t="shared" si="2" ref="B12:H12">SUM(B13:B14)</f>
        <v>6269.52</v>
      </c>
      <c r="C12" s="173">
        <f t="shared" si="2"/>
        <v>66915</v>
      </c>
      <c r="D12" s="173">
        <f t="shared" si="2"/>
        <v>432000</v>
      </c>
      <c r="E12" s="173">
        <f t="shared" si="2"/>
        <v>252000</v>
      </c>
      <c r="F12" s="173">
        <f t="shared" si="2"/>
        <v>0</v>
      </c>
      <c r="G12" s="174">
        <f t="shared" si="2"/>
        <v>0</v>
      </c>
      <c r="H12" s="174">
        <f t="shared" si="2"/>
        <v>0</v>
      </c>
    </row>
    <row r="13" spans="1:8" ht="13.5" customHeight="1">
      <c r="A13" s="175" t="s">
        <v>28</v>
      </c>
      <c r="B13" s="176">
        <f>'[2]inv 2011'!G117</f>
        <v>0</v>
      </c>
      <c r="C13" s="177"/>
      <c r="D13" s="177">
        <v>367200</v>
      </c>
      <c r="E13" s="165">
        <v>214200</v>
      </c>
      <c r="F13" s="165"/>
      <c r="G13" s="178"/>
      <c r="H13" s="178"/>
    </row>
    <row r="14" spans="1:8" ht="13.5" customHeight="1">
      <c r="A14" s="175" t="s">
        <v>29</v>
      </c>
      <c r="B14" s="176">
        <f>'[2]inv 2011'!F117</f>
        <v>6269.52</v>
      </c>
      <c r="C14" s="177">
        <v>66915</v>
      </c>
      <c r="D14" s="177">
        <v>64800</v>
      </c>
      <c r="E14" s="165">
        <v>37800</v>
      </c>
      <c r="F14" s="165"/>
      <c r="G14" s="178"/>
      <c r="H14" s="178"/>
    </row>
    <row r="15" spans="1:8" ht="13.5" customHeight="1">
      <c r="A15" s="180" t="s">
        <v>110</v>
      </c>
      <c r="B15" s="173">
        <f aca="true" t="shared" si="3" ref="B15:H15">SUM(B16:B17)</f>
        <v>0</v>
      </c>
      <c r="C15" s="173">
        <f t="shared" si="3"/>
        <v>0</v>
      </c>
      <c r="D15" s="173">
        <f t="shared" si="3"/>
        <v>288000</v>
      </c>
      <c r="E15" s="173">
        <f t="shared" si="3"/>
        <v>164000</v>
      </c>
      <c r="F15" s="173">
        <f t="shared" si="3"/>
        <v>0</v>
      </c>
      <c r="G15" s="174">
        <f t="shared" si="3"/>
        <v>0</v>
      </c>
      <c r="H15" s="174">
        <f t="shared" si="3"/>
        <v>0</v>
      </c>
    </row>
    <row r="16" spans="1:8" ht="13.5" customHeight="1">
      <c r="A16" s="175" t="s">
        <v>28</v>
      </c>
      <c r="B16" s="176"/>
      <c r="C16" s="177"/>
      <c r="D16" s="177">
        <v>244800</v>
      </c>
      <c r="E16" s="165">
        <v>139400</v>
      </c>
      <c r="F16" s="165"/>
      <c r="G16" s="178"/>
      <c r="H16" s="178"/>
    </row>
    <row r="17" spans="1:21" ht="13.5" customHeight="1">
      <c r="A17" s="175" t="s">
        <v>29</v>
      </c>
      <c r="B17" s="176"/>
      <c r="C17" s="177"/>
      <c r="D17" s="177">
        <v>43200</v>
      </c>
      <c r="E17" s="165">
        <v>24600</v>
      </c>
      <c r="F17" s="165"/>
      <c r="G17" s="178"/>
      <c r="H17" s="17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3.5" customHeight="1">
      <c r="A18" s="180" t="s">
        <v>111</v>
      </c>
      <c r="B18" s="173">
        <f aca="true" t="shared" si="4" ref="B18:H18">SUM(B19:B20)</f>
        <v>0</v>
      </c>
      <c r="C18" s="173">
        <f t="shared" si="4"/>
        <v>0</v>
      </c>
      <c r="D18" s="173">
        <f t="shared" si="4"/>
        <v>510000</v>
      </c>
      <c r="E18" s="173">
        <f t="shared" si="4"/>
        <v>0</v>
      </c>
      <c r="F18" s="173">
        <f t="shared" si="4"/>
        <v>0</v>
      </c>
      <c r="G18" s="174">
        <f t="shared" si="4"/>
        <v>0</v>
      </c>
      <c r="H18" s="174">
        <f t="shared" si="4"/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3.5" customHeight="1">
      <c r="A19" s="175" t="s">
        <v>28</v>
      </c>
      <c r="B19" s="176"/>
      <c r="C19" s="177"/>
      <c r="D19" s="177">
        <v>433500</v>
      </c>
      <c r="E19" s="165"/>
      <c r="F19" s="165"/>
      <c r="G19" s="178"/>
      <c r="H19" s="17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3.5" customHeight="1">
      <c r="A20" s="175" t="s">
        <v>29</v>
      </c>
      <c r="B20" s="176"/>
      <c r="C20" s="177"/>
      <c r="D20" s="177">
        <v>76500</v>
      </c>
      <c r="E20" s="165"/>
      <c r="F20" s="165"/>
      <c r="G20" s="178"/>
      <c r="H20" s="17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3.5" customHeight="1">
      <c r="A21" s="180" t="s">
        <v>113</v>
      </c>
      <c r="B21" s="173">
        <f aca="true" t="shared" si="5" ref="B21:H21">SUM(B22:B23)</f>
        <v>0</v>
      </c>
      <c r="C21" s="173">
        <f t="shared" si="5"/>
        <v>90000</v>
      </c>
      <c r="D21" s="173">
        <f t="shared" si="5"/>
        <v>916000</v>
      </c>
      <c r="E21" s="173">
        <f t="shared" si="5"/>
        <v>610000</v>
      </c>
      <c r="F21" s="173">
        <f t="shared" si="5"/>
        <v>0</v>
      </c>
      <c r="G21" s="174">
        <f t="shared" si="5"/>
        <v>0</v>
      </c>
      <c r="H21" s="174">
        <f t="shared" si="5"/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>
      <c r="A22" s="175" t="s">
        <v>28</v>
      </c>
      <c r="B22" s="176"/>
      <c r="C22" s="177">
        <v>81000</v>
      </c>
      <c r="D22" s="177">
        <v>778600</v>
      </c>
      <c r="E22" s="165">
        <v>518500</v>
      </c>
      <c r="F22" s="165"/>
      <c r="G22" s="178"/>
      <c r="H22" s="17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3.5" customHeight="1">
      <c r="A23" s="175" t="s">
        <v>29</v>
      </c>
      <c r="B23" s="176"/>
      <c r="C23" s="177">
        <v>9000</v>
      </c>
      <c r="D23" s="177">
        <v>137400</v>
      </c>
      <c r="E23" s="165">
        <v>91500</v>
      </c>
      <c r="F23" s="165"/>
      <c r="G23" s="178"/>
      <c r="H23" s="17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3.5" customHeight="1">
      <c r="A24" s="181" t="s">
        <v>114</v>
      </c>
      <c r="B24" s="173">
        <f aca="true" t="shared" si="6" ref="B24:H24">SUM(B25:B26)</f>
        <v>174078.84</v>
      </c>
      <c r="C24" s="173">
        <f t="shared" si="6"/>
        <v>826067</v>
      </c>
      <c r="D24" s="173">
        <f t="shared" si="6"/>
        <v>519000</v>
      </c>
      <c r="E24" s="173">
        <f t="shared" si="6"/>
        <v>0</v>
      </c>
      <c r="F24" s="173">
        <f t="shared" si="6"/>
        <v>0</v>
      </c>
      <c r="G24" s="174">
        <f t="shared" si="6"/>
        <v>0</v>
      </c>
      <c r="H24" s="174">
        <f t="shared" si="6"/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3.5" customHeight="1">
      <c r="A25" s="175" t="s">
        <v>28</v>
      </c>
      <c r="B25" s="176">
        <f>'[2]inv 2011'!G18</f>
        <v>0</v>
      </c>
      <c r="C25" s="177">
        <v>649041</v>
      </c>
      <c r="D25" s="177">
        <v>441150</v>
      </c>
      <c r="E25" s="165"/>
      <c r="F25" s="165"/>
      <c r="G25" s="178"/>
      <c r="H25" s="17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3.5" customHeight="1">
      <c r="A26" s="175" t="s">
        <v>29</v>
      </c>
      <c r="B26" s="176">
        <f>'[2]inv 2011'!F18-'[2]inv 2011'!G18</f>
        <v>174078.84</v>
      </c>
      <c r="C26" s="177">
        <v>177026</v>
      </c>
      <c r="D26" s="177">
        <v>77850</v>
      </c>
      <c r="E26" s="165"/>
      <c r="F26" s="165"/>
      <c r="G26" s="178"/>
      <c r="H26" s="17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3.5" customHeight="1">
      <c r="A27" s="181" t="s">
        <v>112</v>
      </c>
      <c r="B27" s="173">
        <f aca="true" t="shared" si="7" ref="B27:G27">SUM(B28:B29)</f>
        <v>0</v>
      </c>
      <c r="C27" s="173">
        <f t="shared" si="7"/>
        <v>297490</v>
      </c>
      <c r="D27" s="173">
        <f t="shared" si="7"/>
        <v>114000</v>
      </c>
      <c r="E27" s="173">
        <f t="shared" si="7"/>
        <v>0</v>
      </c>
      <c r="F27" s="173">
        <f t="shared" si="7"/>
        <v>0</v>
      </c>
      <c r="G27" s="174">
        <f t="shared" si="7"/>
        <v>0</v>
      </c>
      <c r="H27" s="174">
        <f>SUM(H28:H29)</f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3.5" customHeight="1">
      <c r="A28" s="175" t="s">
        <v>28</v>
      </c>
      <c r="B28" s="176"/>
      <c r="C28" s="177">
        <v>199070</v>
      </c>
      <c r="D28" s="177">
        <v>96900</v>
      </c>
      <c r="E28" s="165"/>
      <c r="F28" s="165"/>
      <c r="G28" s="178"/>
      <c r="H28" s="17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3.5" customHeight="1">
      <c r="A29" s="175" t="s">
        <v>29</v>
      </c>
      <c r="B29" s="176"/>
      <c r="C29" s="177">
        <v>98420</v>
      </c>
      <c r="D29" s="177">
        <v>17100</v>
      </c>
      <c r="E29" s="165"/>
      <c r="F29" s="165"/>
      <c r="G29" s="178"/>
      <c r="H29" s="17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3.5" customHeight="1">
      <c r="A30" s="181" t="s">
        <v>103</v>
      </c>
      <c r="B30" s="173">
        <f aca="true" t="shared" si="8" ref="B30:H30">SUM(B31:B32)</f>
        <v>47934</v>
      </c>
      <c r="C30" s="173">
        <f t="shared" si="8"/>
        <v>100000</v>
      </c>
      <c r="D30" s="173">
        <f t="shared" si="8"/>
        <v>0</v>
      </c>
      <c r="E30" s="173">
        <f t="shared" si="8"/>
        <v>0</v>
      </c>
      <c r="F30" s="173">
        <f t="shared" si="8"/>
        <v>0</v>
      </c>
      <c r="G30" s="174">
        <f t="shared" si="8"/>
        <v>0</v>
      </c>
      <c r="H30" s="174">
        <f t="shared" si="8"/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3.5" customHeight="1">
      <c r="A31" s="175" t="s">
        <v>28</v>
      </c>
      <c r="B31" s="176">
        <f>'[2]inv 2011'!G105</f>
        <v>0</v>
      </c>
      <c r="C31" s="177"/>
      <c r="D31" s="177"/>
      <c r="E31" s="165"/>
      <c r="F31" s="165"/>
      <c r="G31" s="178"/>
      <c r="H31" s="17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3.5" customHeight="1">
      <c r="A32" s="175" t="s">
        <v>29</v>
      </c>
      <c r="B32" s="176">
        <f>'[2]inv 2011'!F105-'[2]inv 2011'!G105</f>
        <v>47934</v>
      </c>
      <c r="C32" s="177">
        <v>100000</v>
      </c>
      <c r="D32" s="177"/>
      <c r="E32" s="165"/>
      <c r="F32" s="165"/>
      <c r="G32" s="178"/>
      <c r="H32" s="17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3.5" customHeight="1">
      <c r="A33" s="181" t="s">
        <v>104</v>
      </c>
      <c r="B33" s="173">
        <f aca="true" t="shared" si="9" ref="B33:G33">SUM(B34:B35)</f>
        <v>6556.99</v>
      </c>
      <c r="C33" s="173">
        <f t="shared" si="9"/>
        <v>127800</v>
      </c>
      <c r="D33" s="173">
        <f t="shared" si="9"/>
        <v>0</v>
      </c>
      <c r="E33" s="173">
        <f t="shared" si="9"/>
        <v>0</v>
      </c>
      <c r="F33" s="173">
        <f t="shared" si="9"/>
        <v>0</v>
      </c>
      <c r="G33" s="174">
        <f t="shared" si="9"/>
        <v>0</v>
      </c>
      <c r="H33" s="174">
        <f>SUM(H34:H35)</f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3.5" customHeight="1">
      <c r="A34" s="175" t="s">
        <v>28</v>
      </c>
      <c r="B34" s="176">
        <f>'[2]inv 2011'!G114</f>
        <v>0</v>
      </c>
      <c r="C34" s="177"/>
      <c r="D34" s="177"/>
      <c r="E34" s="165"/>
      <c r="F34" s="165"/>
      <c r="G34" s="178"/>
      <c r="H34" s="17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3.5" customHeight="1">
      <c r="A35" s="175" t="s">
        <v>29</v>
      </c>
      <c r="B35" s="176">
        <f>'[2]inv 2011'!F114-'[2]inv 2011'!G114</f>
        <v>6556.99</v>
      </c>
      <c r="C35" s="177">
        <v>127800</v>
      </c>
      <c r="D35" s="177"/>
      <c r="E35" s="165"/>
      <c r="F35" s="165"/>
      <c r="G35" s="178"/>
      <c r="H35" s="1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3.5" customHeight="1">
      <c r="A36" s="181" t="s">
        <v>115</v>
      </c>
      <c r="B36" s="173">
        <f aca="true" t="shared" si="10" ref="B36:G36">SUM(B37:B38)</f>
        <v>5639881.069999999</v>
      </c>
      <c r="C36" s="173">
        <f t="shared" si="10"/>
        <v>155010.96</v>
      </c>
      <c r="D36" s="173">
        <f t="shared" si="10"/>
        <v>0</v>
      </c>
      <c r="E36" s="173">
        <f t="shared" si="10"/>
        <v>0</v>
      </c>
      <c r="F36" s="173">
        <f t="shared" si="10"/>
        <v>0</v>
      </c>
      <c r="G36" s="174">
        <f t="shared" si="10"/>
        <v>0</v>
      </c>
      <c r="H36" s="174">
        <f>SUM(H37:H38)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3.5" customHeight="1">
      <c r="A37" s="175" t="s">
        <v>28</v>
      </c>
      <c r="B37" s="176">
        <f>'[2]inv 2011'!G129</f>
        <v>1998122.4</v>
      </c>
      <c r="C37" s="177">
        <v>16360.96</v>
      </c>
      <c r="D37" s="177"/>
      <c r="E37" s="165"/>
      <c r="F37" s="165"/>
      <c r="G37" s="178"/>
      <c r="H37" s="17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3.5" customHeight="1">
      <c r="A38" s="175" t="s">
        <v>29</v>
      </c>
      <c r="B38" s="176">
        <f>'[2]inv 2011'!F129</f>
        <v>3641758.6699999995</v>
      </c>
      <c r="C38" s="177">
        <v>138650</v>
      </c>
      <c r="D38" s="177"/>
      <c r="E38" s="165"/>
      <c r="F38" s="165"/>
      <c r="G38" s="178"/>
      <c r="H38" s="17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3.5" customHeight="1">
      <c r="A39" s="181" t="s">
        <v>105</v>
      </c>
      <c r="B39" s="173">
        <f aca="true" t="shared" si="11" ref="B39:H39">SUM(B40:B41)</f>
        <v>0</v>
      </c>
      <c r="C39" s="173">
        <f t="shared" si="11"/>
        <v>2096869</v>
      </c>
      <c r="D39" s="173">
        <f t="shared" si="11"/>
        <v>0</v>
      </c>
      <c r="E39" s="173">
        <f t="shared" si="11"/>
        <v>0</v>
      </c>
      <c r="F39" s="173">
        <f t="shared" si="11"/>
        <v>0</v>
      </c>
      <c r="G39" s="174">
        <f t="shared" si="11"/>
        <v>0</v>
      </c>
      <c r="H39" s="174">
        <f t="shared" si="11"/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3.5" customHeight="1">
      <c r="A40" s="175" t="s">
        <v>28</v>
      </c>
      <c r="B40" s="176">
        <f>'[2]inv 2011'!G166</f>
        <v>0</v>
      </c>
      <c r="C40" s="177">
        <v>1914818</v>
      </c>
      <c r="D40" s="177"/>
      <c r="E40" s="165"/>
      <c r="F40" s="165"/>
      <c r="G40" s="178"/>
      <c r="H40" s="17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3.5" customHeight="1">
      <c r="A41" s="175" t="s">
        <v>29</v>
      </c>
      <c r="B41" s="176">
        <v>0</v>
      </c>
      <c r="C41" s="177">
        <v>182051</v>
      </c>
      <c r="D41" s="177"/>
      <c r="E41" s="165"/>
      <c r="F41" s="165"/>
      <c r="G41" s="178"/>
      <c r="H41" s="17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3.5" customHeight="1">
      <c r="A42" s="181" t="s">
        <v>106</v>
      </c>
      <c r="B42" s="173">
        <f aca="true" t="shared" si="12" ref="B42:H42">SUM(B43:B44)</f>
        <v>29200</v>
      </c>
      <c r="C42" s="173">
        <f t="shared" si="12"/>
        <v>832.8</v>
      </c>
      <c r="D42" s="173">
        <f t="shared" si="12"/>
        <v>0</v>
      </c>
      <c r="E42" s="173">
        <f t="shared" si="12"/>
        <v>0</v>
      </c>
      <c r="F42" s="173">
        <f t="shared" si="12"/>
        <v>0</v>
      </c>
      <c r="G42" s="174">
        <f t="shared" si="12"/>
        <v>0</v>
      </c>
      <c r="H42" s="174">
        <f t="shared" si="12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3.5" customHeight="1">
      <c r="A43" s="175" t="s">
        <v>28</v>
      </c>
      <c r="B43" s="176">
        <f>'[2]inv 2011'!G191</f>
        <v>29200</v>
      </c>
      <c r="C43" s="177">
        <v>832.8</v>
      </c>
      <c r="D43" s="177"/>
      <c r="E43" s="165"/>
      <c r="F43" s="165"/>
      <c r="G43" s="178"/>
      <c r="H43" s="17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3.5" customHeight="1">
      <c r="A44" s="175" t="s">
        <v>29</v>
      </c>
      <c r="B44" s="176">
        <f>'[2]inv 2011'!F191-'[2]inv 2011'!G191</f>
        <v>0</v>
      </c>
      <c r="C44" s="177"/>
      <c r="D44" s="177"/>
      <c r="E44" s="165"/>
      <c r="F44" s="165"/>
      <c r="G44" s="178"/>
      <c r="H44" s="17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3.5" customHeight="1">
      <c r="A45" s="181" t="s">
        <v>117</v>
      </c>
      <c r="B45" s="173">
        <f aca="true" t="shared" si="13" ref="B45:G45">SUM(B46:B47)</f>
        <v>629055</v>
      </c>
      <c r="C45" s="173">
        <f t="shared" si="13"/>
        <v>15210972</v>
      </c>
      <c r="D45" s="173">
        <f t="shared" si="13"/>
        <v>15192000</v>
      </c>
      <c r="E45" s="173">
        <f t="shared" si="13"/>
        <v>13930000</v>
      </c>
      <c r="F45" s="173">
        <f t="shared" si="13"/>
        <v>4588157.6499999985</v>
      </c>
      <c r="G45" s="174">
        <f t="shared" si="13"/>
        <v>0</v>
      </c>
      <c r="H45" s="174">
        <f>SUM(H46:H47)</f>
        <v>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3.5" customHeight="1">
      <c r="A46" s="175" t="s">
        <v>28</v>
      </c>
      <c r="B46" s="176">
        <f>'[2]inv 2011'!G194</f>
        <v>0</v>
      </c>
      <c r="C46" s="177">
        <v>12929326</v>
      </c>
      <c r="D46" s="177">
        <v>12312000</v>
      </c>
      <c r="E46" s="165">
        <v>11050000</v>
      </c>
      <c r="F46" s="165">
        <v>1957622.6499999985</v>
      </c>
      <c r="G46" s="178"/>
      <c r="H46" s="17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8" ht="12.75">
      <c r="A47" s="175" t="s">
        <v>29</v>
      </c>
      <c r="B47" s="176">
        <f>'[2]inv 2011'!F17</f>
        <v>629055</v>
      </c>
      <c r="C47" s="177">
        <v>2281646</v>
      </c>
      <c r="D47" s="177">
        <v>2880000</v>
      </c>
      <c r="E47" s="165">
        <v>2880000</v>
      </c>
      <c r="F47" s="165">
        <v>2630535</v>
      </c>
      <c r="G47" s="178">
        <v>0</v>
      </c>
      <c r="H47" s="178">
        <v>0</v>
      </c>
    </row>
    <row r="48" spans="1:8" ht="12.75">
      <c r="A48" s="167" t="s">
        <v>138</v>
      </c>
      <c r="B48" s="182"/>
      <c r="C48" s="182">
        <f aca="true" t="shared" si="14" ref="C48:H48">SUM(C49:C50)</f>
        <v>13888315</v>
      </c>
      <c r="D48" s="182">
        <f t="shared" si="14"/>
        <v>4794736</v>
      </c>
      <c r="E48" s="182">
        <f t="shared" si="14"/>
        <v>3586000</v>
      </c>
      <c r="F48" s="182">
        <f t="shared" si="14"/>
        <v>14000000</v>
      </c>
      <c r="G48" s="183">
        <f t="shared" si="14"/>
        <v>19000000</v>
      </c>
      <c r="H48" s="184">
        <f t="shared" si="14"/>
        <v>19000000</v>
      </c>
    </row>
    <row r="49" spans="1:8" ht="12.75">
      <c r="A49" s="185" t="s">
        <v>28</v>
      </c>
      <c r="B49" s="166"/>
      <c r="C49" s="186">
        <v>11805110.25</v>
      </c>
      <c r="D49" s="186">
        <v>1132975</v>
      </c>
      <c r="E49" s="164"/>
      <c r="F49" s="164">
        <v>10000000</v>
      </c>
      <c r="G49" s="164">
        <v>12000000</v>
      </c>
      <c r="H49" s="164">
        <v>12000000</v>
      </c>
    </row>
    <row r="50" spans="1:8" s="14" customFormat="1" ht="12.75">
      <c r="A50" s="185" t="s">
        <v>29</v>
      </c>
      <c r="B50" s="166"/>
      <c r="C50" s="186">
        <v>2083204.75</v>
      </c>
      <c r="D50" s="186">
        <v>3661761</v>
      </c>
      <c r="E50" s="164">
        <v>3586000</v>
      </c>
      <c r="F50" s="164">
        <v>4000000</v>
      </c>
      <c r="G50" s="164">
        <v>7000000</v>
      </c>
      <c r="H50" s="164">
        <v>7000000</v>
      </c>
    </row>
    <row r="51" spans="1:8" s="14" customFormat="1" ht="12.75">
      <c r="A51" s="167" t="s">
        <v>5</v>
      </c>
      <c r="B51" s="182"/>
      <c r="C51" s="182">
        <f>SUM(C6,C9,C12,C15,C18,C21,C24,C27,C30,C33,C36,C39,C42,C45,C48)</f>
        <v>34186666.76</v>
      </c>
      <c r="D51" s="182">
        <f aca="true" t="shared" si="15" ref="D51:H53">SUM(D6,D9,D12,D15,D18,D21,D24,D27,D30,D33,D36,D39,D42,D45,D48)</f>
        <v>23905736</v>
      </c>
      <c r="E51" s="182">
        <f t="shared" si="15"/>
        <v>18689487</v>
      </c>
      <c r="F51" s="182">
        <f t="shared" si="15"/>
        <v>18588157.65</v>
      </c>
      <c r="G51" s="182">
        <f t="shared" si="15"/>
        <v>19000000</v>
      </c>
      <c r="H51" s="182">
        <f t="shared" si="15"/>
        <v>19000000</v>
      </c>
    </row>
    <row r="52" spans="1:8" ht="12.75">
      <c r="A52" s="185" t="s">
        <v>28</v>
      </c>
      <c r="B52" s="166"/>
      <c r="C52" s="166">
        <f>SUM(C7,C10,C13,C16,C19,C22,C25,C28,C31,C34,C37,C40,C43,C46,C49)</f>
        <v>28891954.009999998</v>
      </c>
      <c r="D52" s="166">
        <f t="shared" si="15"/>
        <v>16776125</v>
      </c>
      <c r="E52" s="166">
        <f t="shared" si="15"/>
        <v>12047463.95</v>
      </c>
      <c r="F52" s="166">
        <f t="shared" si="15"/>
        <v>11957622.649999999</v>
      </c>
      <c r="G52" s="166">
        <f t="shared" si="15"/>
        <v>12000000</v>
      </c>
      <c r="H52" s="166">
        <f t="shared" si="15"/>
        <v>12000000</v>
      </c>
    </row>
    <row r="53" spans="1:8" ht="13.5" thickBot="1">
      <c r="A53" s="185" t="s">
        <v>29</v>
      </c>
      <c r="B53" s="187"/>
      <c r="C53" s="166">
        <f>SUM(C8,C11,C14,C17,C20,C23,C26,C29,C32,C35,C38,C41,C44,C47,C50)</f>
        <v>5294712.75</v>
      </c>
      <c r="D53" s="166">
        <f t="shared" si="15"/>
        <v>7129611</v>
      </c>
      <c r="E53" s="166">
        <f t="shared" si="15"/>
        <v>6642023.05</v>
      </c>
      <c r="F53" s="166">
        <f t="shared" si="15"/>
        <v>6630535</v>
      </c>
      <c r="G53" s="166">
        <f t="shared" si="15"/>
        <v>7000000</v>
      </c>
      <c r="H53" s="166">
        <f t="shared" si="15"/>
        <v>7000000</v>
      </c>
    </row>
    <row r="54" ht="19.5" customHeight="1">
      <c r="A54" s="188"/>
    </row>
    <row r="56" spans="1:8" ht="12.75">
      <c r="A56" s="5" t="s">
        <v>146</v>
      </c>
      <c r="C56" s="6"/>
      <c r="D56" s="6">
        <f>SUM(D57,D63)</f>
        <v>4794736</v>
      </c>
      <c r="E56" s="6">
        <f>SUM(E57,E63)</f>
        <v>3586000</v>
      </c>
      <c r="F56" s="6">
        <f>SUM(F57,F63)</f>
        <v>14000000</v>
      </c>
      <c r="G56" s="6">
        <f>SUM(G57,G63)</f>
        <v>19000000</v>
      </c>
      <c r="H56" s="6">
        <f>SUM(H57,H63)</f>
        <v>19000000</v>
      </c>
    </row>
    <row r="57" spans="1:8" ht="12.75">
      <c r="A57" s="5" t="s">
        <v>153</v>
      </c>
      <c r="C57" s="6"/>
      <c r="D57" s="147">
        <f>SUM(D58:D62)</f>
        <v>3522000</v>
      </c>
      <c r="E57" s="147">
        <f>SUM(E58:E62)</f>
        <v>3522000</v>
      </c>
      <c r="F57" s="147">
        <f>SUM(F58:F62)</f>
        <v>3522000</v>
      </c>
      <c r="G57" s="147">
        <f>SUM(G58:G62)</f>
        <v>3522000</v>
      </c>
      <c r="H57" s="147">
        <f>SUM(H58:H62)</f>
        <v>3522000</v>
      </c>
    </row>
    <row r="58" spans="1:8" ht="12.75">
      <c r="A58" s="3" t="s">
        <v>147</v>
      </c>
      <c r="B58" s="3"/>
      <c r="C58" s="189"/>
      <c r="D58" s="189">
        <v>1334000</v>
      </c>
      <c r="E58" s="189">
        <v>1334000</v>
      </c>
      <c r="F58" s="189">
        <v>1334000</v>
      </c>
      <c r="G58" s="189">
        <v>1334000</v>
      </c>
      <c r="H58" s="189">
        <v>1334000</v>
      </c>
    </row>
    <row r="59" spans="1:8" ht="12.75">
      <c r="A59" s="3" t="s">
        <v>148</v>
      </c>
      <c r="B59" s="3"/>
      <c r="C59" s="189"/>
      <c r="D59" s="189">
        <v>76000</v>
      </c>
      <c r="E59" s="189">
        <v>76000</v>
      </c>
      <c r="F59" s="189">
        <v>76000</v>
      </c>
      <c r="G59" s="189">
        <v>76000</v>
      </c>
      <c r="H59" s="189">
        <v>76000</v>
      </c>
    </row>
    <row r="60" spans="1:8" ht="12.75">
      <c r="A60" s="3" t="s">
        <v>150</v>
      </c>
      <c r="B60" s="3"/>
      <c r="C60" s="189"/>
      <c r="D60" s="189">
        <v>112000</v>
      </c>
      <c r="E60" s="189">
        <v>112000</v>
      </c>
      <c r="F60" s="189">
        <v>112000</v>
      </c>
      <c r="G60" s="189">
        <v>112000</v>
      </c>
      <c r="H60" s="189">
        <v>112000</v>
      </c>
    </row>
    <row r="61" spans="1:8" ht="12.75">
      <c r="A61" s="3" t="s">
        <v>151</v>
      </c>
      <c r="B61" s="3"/>
      <c r="C61" s="189"/>
      <c r="D61" s="189">
        <v>100000</v>
      </c>
      <c r="E61" s="189">
        <v>100000</v>
      </c>
      <c r="F61" s="189">
        <v>100000</v>
      </c>
      <c r="G61" s="189">
        <v>100000</v>
      </c>
      <c r="H61" s="189">
        <v>100000</v>
      </c>
    </row>
    <row r="62" spans="1:8" ht="12.75">
      <c r="A62" s="3" t="s">
        <v>152</v>
      </c>
      <c r="B62" s="3"/>
      <c r="C62" s="189"/>
      <c r="D62" s="189">
        <f>1900000</f>
        <v>1900000</v>
      </c>
      <c r="E62" s="189">
        <v>1900000</v>
      </c>
      <c r="F62" s="189">
        <v>1900000</v>
      </c>
      <c r="G62" s="189">
        <v>1900000</v>
      </c>
      <c r="H62" s="189">
        <v>1900000</v>
      </c>
    </row>
    <row r="63" spans="1:8" ht="12.75">
      <c r="A63" s="5" t="s">
        <v>149</v>
      </c>
      <c r="D63" s="6">
        <f>D48-D57</f>
        <v>1272736</v>
      </c>
      <c r="E63" s="6">
        <f>E48-E57</f>
        <v>64000</v>
      </c>
      <c r="F63" s="6">
        <f>F48-F57</f>
        <v>10478000</v>
      </c>
      <c r="G63" s="6">
        <f>G48-G57</f>
        <v>15478000</v>
      </c>
      <c r="H63" s="6">
        <f>H48-H57</f>
        <v>15478000</v>
      </c>
    </row>
    <row r="64" spans="1:8" ht="12.75">
      <c r="A64" s="4" t="s">
        <v>156</v>
      </c>
      <c r="B64" s="4"/>
      <c r="C64" s="4"/>
      <c r="D64" s="152">
        <v>1208736</v>
      </c>
      <c r="E64" s="4">
        <v>0</v>
      </c>
      <c r="F64" s="4">
        <v>0</v>
      </c>
      <c r="G64" s="4">
        <v>0</v>
      </c>
      <c r="H64" s="152">
        <v>0</v>
      </c>
    </row>
    <row r="65" spans="1:8" ht="12.75">
      <c r="A65" s="3" t="s">
        <v>130</v>
      </c>
      <c r="B65" s="4"/>
      <c r="C65" s="4"/>
      <c r="D65" s="189">
        <v>64000</v>
      </c>
      <c r="E65" s="189">
        <v>64000</v>
      </c>
      <c r="F65" s="189">
        <v>64000</v>
      </c>
      <c r="G65" s="4">
        <v>0</v>
      </c>
      <c r="H65" s="152">
        <v>0</v>
      </c>
    </row>
    <row r="66" spans="1:8" ht="12.75">
      <c r="A66" s="4" t="s">
        <v>154</v>
      </c>
      <c r="B66" s="4"/>
      <c r="C66" s="4"/>
      <c r="D66" s="4">
        <v>0</v>
      </c>
      <c r="E66" s="4">
        <v>0</v>
      </c>
      <c r="F66" s="152">
        <v>10000000</v>
      </c>
      <c r="G66" s="152">
        <v>12000000</v>
      </c>
      <c r="H66" s="152">
        <v>12000000</v>
      </c>
    </row>
    <row r="67" spans="1:8" ht="12.75">
      <c r="A67" s="4" t="s">
        <v>157</v>
      </c>
      <c r="B67" s="4"/>
      <c r="C67" s="4"/>
      <c r="D67" s="4">
        <v>0</v>
      </c>
      <c r="E67" s="4">
        <v>0</v>
      </c>
      <c r="F67" s="152">
        <v>414000</v>
      </c>
      <c r="G67" s="152">
        <v>3478000</v>
      </c>
      <c r="H67" s="152">
        <v>3478000</v>
      </c>
    </row>
  </sheetData>
  <sheetProtection selectLockedCells="1" selectUnlockedCells="1"/>
  <mergeCells count="1">
    <mergeCell ref="A1:H1"/>
  </mergeCells>
  <printOptions/>
  <pageMargins left="0.7480314960629921" right="0.35433070866141736" top="0.984251968503937" bottom="0.984251968503937" header="0.5118110236220472" footer="0.5118110236220472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V70"/>
  <sheetViews>
    <sheetView zoomScalePageLayoutView="0" workbookViewId="0" topLeftCell="A1">
      <pane xSplit="1" ySplit="6" topLeftCell="W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8" sqref="AH8"/>
    </sheetView>
  </sheetViews>
  <sheetFormatPr defaultColWidth="9.140625" defaultRowHeight="12.75"/>
  <cols>
    <col min="1" max="1" width="20.57421875" style="6" customWidth="1"/>
    <col min="2" max="2" width="9.140625" style="6" customWidth="1"/>
    <col min="3" max="3" width="13.421875" style="6" customWidth="1"/>
    <col min="4" max="4" width="16.140625" style="10" customWidth="1"/>
    <col min="5" max="5" width="14.28125" style="6" customWidth="1"/>
    <col min="6" max="6" width="12.140625" style="6" customWidth="1"/>
    <col min="7" max="15" width="11.140625" style="6" customWidth="1"/>
    <col min="16" max="32" width="10.140625" style="6" customWidth="1"/>
    <col min="33" max="33" width="9.7109375" style="18" customWidth="1"/>
    <col min="34" max="48" width="9.140625" style="18" customWidth="1"/>
    <col min="49" max="16384" width="9.140625" style="6" customWidth="1"/>
  </cols>
  <sheetData>
    <row r="1" spans="1:32" ht="15.75">
      <c r="A1" s="227" t="s">
        <v>162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4" spans="1:33" ht="15.75">
      <c r="A4" s="124" t="s">
        <v>118</v>
      </c>
      <c r="B4" s="124"/>
      <c r="C4" s="125"/>
      <c r="D4" s="126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19"/>
    </row>
    <row r="5" spans="1:33" ht="12.75">
      <c r="A5" s="127"/>
      <c r="B5" s="127"/>
      <c r="C5" s="127"/>
      <c r="D5" s="128"/>
      <c r="E5" s="127"/>
      <c r="F5" s="127"/>
      <c r="G5" s="127">
        <v>1</v>
      </c>
      <c r="H5" s="127">
        <v>2</v>
      </c>
      <c r="I5" s="127">
        <v>3</v>
      </c>
      <c r="J5" s="127">
        <v>4</v>
      </c>
      <c r="K5" s="127">
        <v>5</v>
      </c>
      <c r="L5" s="127">
        <v>6</v>
      </c>
      <c r="M5" s="127">
        <v>7</v>
      </c>
      <c r="N5" s="127">
        <v>8</v>
      </c>
      <c r="O5" s="127">
        <v>9</v>
      </c>
      <c r="P5" s="127">
        <v>10</v>
      </c>
      <c r="Q5" s="127">
        <v>11</v>
      </c>
      <c r="R5" s="127">
        <v>12</v>
      </c>
      <c r="S5" s="127">
        <v>13</v>
      </c>
      <c r="T5" s="127">
        <v>14</v>
      </c>
      <c r="U5" s="127">
        <v>15</v>
      </c>
      <c r="V5" s="127">
        <v>16</v>
      </c>
      <c r="W5" s="127">
        <v>17</v>
      </c>
      <c r="X5" s="127">
        <v>18</v>
      </c>
      <c r="Y5" s="127">
        <v>19</v>
      </c>
      <c r="Z5" s="127">
        <v>20</v>
      </c>
      <c r="AA5" s="127">
        <v>21</v>
      </c>
      <c r="AB5" s="127">
        <v>22</v>
      </c>
      <c r="AC5" s="127">
        <v>23</v>
      </c>
      <c r="AD5" s="127">
        <v>24</v>
      </c>
      <c r="AE5" s="127">
        <v>25</v>
      </c>
      <c r="AF5" s="127">
        <v>26</v>
      </c>
      <c r="AG5" s="219"/>
    </row>
    <row r="6" spans="1:48" s="135" customFormat="1" ht="39" thickBot="1">
      <c r="A6" s="129" t="s">
        <v>119</v>
      </c>
      <c r="B6" s="130" t="s">
        <v>145</v>
      </c>
      <c r="C6" s="131" t="s">
        <v>120</v>
      </c>
      <c r="D6" s="132" t="s">
        <v>121</v>
      </c>
      <c r="E6" s="130"/>
      <c r="F6" s="133">
        <f>'[1]Tulumaks'!H3</f>
        <v>2009</v>
      </c>
      <c r="G6" s="134">
        <f>F6+1</f>
        <v>2010</v>
      </c>
      <c r="H6" s="134">
        <f aca="true" t="shared" si="0" ref="H6:AF6">G6+1</f>
        <v>2011</v>
      </c>
      <c r="I6" s="134">
        <f t="shared" si="0"/>
        <v>2012</v>
      </c>
      <c r="J6" s="134">
        <f t="shared" si="0"/>
        <v>2013</v>
      </c>
      <c r="K6" s="134">
        <f t="shared" si="0"/>
        <v>2014</v>
      </c>
      <c r="L6" s="134">
        <f t="shared" si="0"/>
        <v>2015</v>
      </c>
      <c r="M6" s="134">
        <f t="shared" si="0"/>
        <v>2016</v>
      </c>
      <c r="N6" s="134">
        <f t="shared" si="0"/>
        <v>2017</v>
      </c>
      <c r="O6" s="134">
        <f t="shared" si="0"/>
        <v>2018</v>
      </c>
      <c r="P6" s="134">
        <f t="shared" si="0"/>
        <v>2019</v>
      </c>
      <c r="Q6" s="134">
        <f t="shared" si="0"/>
        <v>2020</v>
      </c>
      <c r="R6" s="134">
        <f t="shared" si="0"/>
        <v>2021</v>
      </c>
      <c r="S6" s="134">
        <f t="shared" si="0"/>
        <v>2022</v>
      </c>
      <c r="T6" s="134">
        <f t="shared" si="0"/>
        <v>2023</v>
      </c>
      <c r="U6" s="134">
        <f t="shared" si="0"/>
        <v>2024</v>
      </c>
      <c r="V6" s="134">
        <f t="shared" si="0"/>
        <v>2025</v>
      </c>
      <c r="W6" s="134">
        <f t="shared" si="0"/>
        <v>2026</v>
      </c>
      <c r="X6" s="134">
        <f t="shared" si="0"/>
        <v>2027</v>
      </c>
      <c r="Y6" s="134">
        <f t="shared" si="0"/>
        <v>2028</v>
      </c>
      <c r="Z6" s="134">
        <f t="shared" si="0"/>
        <v>2029</v>
      </c>
      <c r="AA6" s="134">
        <f t="shared" si="0"/>
        <v>2030</v>
      </c>
      <c r="AB6" s="134">
        <f t="shared" si="0"/>
        <v>2031</v>
      </c>
      <c r="AC6" s="134">
        <f t="shared" si="0"/>
        <v>2032</v>
      </c>
      <c r="AD6" s="134">
        <f t="shared" si="0"/>
        <v>2033</v>
      </c>
      <c r="AE6" s="134">
        <f t="shared" si="0"/>
        <v>2034</v>
      </c>
      <c r="AF6" s="214">
        <f t="shared" si="0"/>
        <v>2035</v>
      </c>
      <c r="AG6" s="220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</row>
    <row r="7" spans="1:33" s="139" customFormat="1" ht="12.75" customHeight="1" thickBot="1">
      <c r="A7" s="228" t="s">
        <v>141</v>
      </c>
      <c r="B7" s="232">
        <v>2004</v>
      </c>
      <c r="C7" s="230">
        <v>6583000</v>
      </c>
      <c r="D7" s="231"/>
      <c r="E7" s="136" t="s">
        <v>122</v>
      </c>
      <c r="F7" s="137">
        <v>6583000</v>
      </c>
      <c r="G7" s="138"/>
      <c r="H7" s="138">
        <v>6583000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215"/>
      <c r="AG7" s="221"/>
    </row>
    <row r="8" spans="1:33" s="139" customFormat="1" ht="13.5" thickBot="1">
      <c r="A8" s="228"/>
      <c r="B8" s="232"/>
      <c r="C8" s="230"/>
      <c r="D8" s="231"/>
      <c r="E8" s="136" t="s">
        <v>123</v>
      </c>
      <c r="F8" s="137"/>
      <c r="G8" s="138">
        <v>288692</v>
      </c>
      <c r="H8" s="138">
        <v>282617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215"/>
      <c r="AG8" s="221"/>
    </row>
    <row r="9" spans="1:48" s="143" customFormat="1" ht="13.5" thickBot="1">
      <c r="A9" s="228"/>
      <c r="B9" s="232"/>
      <c r="C9" s="230"/>
      <c r="D9" s="231"/>
      <c r="E9" s="140" t="s">
        <v>124</v>
      </c>
      <c r="F9" s="141">
        <v>6583000</v>
      </c>
      <c r="G9" s="142">
        <f>IF(G$6=$B7,$C7-G7,IF(G$6&gt;$B7,F9-G7,0))</f>
        <v>6583000</v>
      </c>
      <c r="H9" s="142">
        <f aca="true" t="shared" si="1" ref="H9:AF9">IF(H$6=$B7,$C7-H7,IF(H$6&gt;$B7,G9-H7,0))</f>
        <v>0</v>
      </c>
      <c r="I9" s="142">
        <f t="shared" si="1"/>
        <v>0</v>
      </c>
      <c r="J9" s="142">
        <f t="shared" si="1"/>
        <v>0</v>
      </c>
      <c r="K9" s="142">
        <f t="shared" si="1"/>
        <v>0</v>
      </c>
      <c r="L9" s="142">
        <f t="shared" si="1"/>
        <v>0</v>
      </c>
      <c r="M9" s="142">
        <f t="shared" si="1"/>
        <v>0</v>
      </c>
      <c r="N9" s="142">
        <f t="shared" si="1"/>
        <v>0</v>
      </c>
      <c r="O9" s="142">
        <f t="shared" si="1"/>
        <v>0</v>
      </c>
      <c r="P9" s="142">
        <f t="shared" si="1"/>
        <v>0</v>
      </c>
      <c r="Q9" s="142">
        <f t="shared" si="1"/>
        <v>0</v>
      </c>
      <c r="R9" s="142">
        <f t="shared" si="1"/>
        <v>0</v>
      </c>
      <c r="S9" s="142">
        <f t="shared" si="1"/>
        <v>0</v>
      </c>
      <c r="T9" s="142">
        <f t="shared" si="1"/>
        <v>0</v>
      </c>
      <c r="U9" s="142">
        <f t="shared" si="1"/>
        <v>0</v>
      </c>
      <c r="V9" s="142">
        <f t="shared" si="1"/>
        <v>0</v>
      </c>
      <c r="W9" s="142">
        <f t="shared" si="1"/>
        <v>0</v>
      </c>
      <c r="X9" s="142">
        <f t="shared" si="1"/>
        <v>0</v>
      </c>
      <c r="Y9" s="142">
        <f t="shared" si="1"/>
        <v>0</v>
      </c>
      <c r="Z9" s="142">
        <f t="shared" si="1"/>
        <v>0</v>
      </c>
      <c r="AA9" s="142">
        <f t="shared" si="1"/>
        <v>0</v>
      </c>
      <c r="AB9" s="142">
        <f t="shared" si="1"/>
        <v>0</v>
      </c>
      <c r="AC9" s="142">
        <f t="shared" si="1"/>
        <v>0</v>
      </c>
      <c r="AD9" s="142">
        <f t="shared" si="1"/>
        <v>0</v>
      </c>
      <c r="AE9" s="142">
        <f t="shared" si="1"/>
        <v>0</v>
      </c>
      <c r="AF9" s="216">
        <f t="shared" si="1"/>
        <v>0</v>
      </c>
      <c r="AG9" s="221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</row>
    <row r="10" spans="1:33" s="139" customFormat="1" ht="12.75" customHeight="1" thickBot="1">
      <c r="A10" s="228" t="s">
        <v>140</v>
      </c>
      <c r="B10" s="229">
        <v>2006</v>
      </c>
      <c r="C10" s="230">
        <v>5432490</v>
      </c>
      <c r="D10" s="231">
        <v>0.0122</v>
      </c>
      <c r="E10" s="136" t="s">
        <v>122</v>
      </c>
      <c r="F10" s="137">
        <v>5432490.12</v>
      </c>
      <c r="G10" s="138">
        <v>776070</v>
      </c>
      <c r="H10" s="138">
        <v>776070</v>
      </c>
      <c r="I10" s="138">
        <v>776070</v>
      </c>
      <c r="J10" s="138">
        <v>776070.12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215"/>
      <c r="AG10" s="221"/>
    </row>
    <row r="11" spans="1:33" s="139" customFormat="1" ht="13.5" thickBot="1">
      <c r="A11" s="228"/>
      <c r="B11" s="229"/>
      <c r="C11" s="230"/>
      <c r="D11" s="231"/>
      <c r="E11" s="136" t="s">
        <v>123</v>
      </c>
      <c r="F11" s="137"/>
      <c r="G11" s="138">
        <v>24621</v>
      </c>
      <c r="H11" s="138">
        <v>46656</v>
      </c>
      <c r="I11" s="138">
        <v>31653</v>
      </c>
      <c r="J11" s="138">
        <v>15826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215"/>
      <c r="AG11" s="221"/>
    </row>
    <row r="12" spans="1:48" s="143" customFormat="1" ht="13.5" thickBot="1">
      <c r="A12" s="228"/>
      <c r="B12" s="229"/>
      <c r="C12" s="230"/>
      <c r="D12" s="231"/>
      <c r="E12" s="140" t="s">
        <v>124</v>
      </c>
      <c r="F12" s="141">
        <v>3104280.12</v>
      </c>
      <c r="G12" s="142">
        <f>IF(G$6=$B10,$C10-G10,IF(G$6&gt;$B10,F12-G10,0))</f>
        <v>2328210.12</v>
      </c>
      <c r="H12" s="142">
        <f aca="true" t="shared" si="2" ref="H12:AF12">IF(H$6=$B10,$C10-H10,IF(H$6&gt;$B10,G12-H10,0))</f>
        <v>1552140.12</v>
      </c>
      <c r="I12" s="142">
        <f t="shared" si="2"/>
        <v>776070.1200000001</v>
      </c>
      <c r="J12" s="142">
        <f t="shared" si="2"/>
        <v>1.1641532182693481E-10</v>
      </c>
      <c r="K12" s="142">
        <f t="shared" si="2"/>
        <v>1.1641532182693481E-10</v>
      </c>
      <c r="L12" s="142">
        <f t="shared" si="2"/>
        <v>1.1641532182693481E-10</v>
      </c>
      <c r="M12" s="142">
        <f t="shared" si="2"/>
        <v>1.1641532182693481E-10</v>
      </c>
      <c r="N12" s="142">
        <f t="shared" si="2"/>
        <v>1.1641532182693481E-10</v>
      </c>
      <c r="O12" s="142">
        <f t="shared" si="2"/>
        <v>1.1641532182693481E-10</v>
      </c>
      <c r="P12" s="142">
        <f t="shared" si="2"/>
        <v>1.1641532182693481E-10</v>
      </c>
      <c r="Q12" s="142">
        <f t="shared" si="2"/>
        <v>1.1641532182693481E-10</v>
      </c>
      <c r="R12" s="142">
        <f t="shared" si="2"/>
        <v>1.1641532182693481E-10</v>
      </c>
      <c r="S12" s="142">
        <f t="shared" si="2"/>
        <v>1.1641532182693481E-10</v>
      </c>
      <c r="T12" s="142">
        <f t="shared" si="2"/>
        <v>1.1641532182693481E-10</v>
      </c>
      <c r="U12" s="142">
        <f t="shared" si="2"/>
        <v>1.1641532182693481E-10</v>
      </c>
      <c r="V12" s="142">
        <f t="shared" si="2"/>
        <v>1.1641532182693481E-10</v>
      </c>
      <c r="W12" s="142">
        <f t="shared" si="2"/>
        <v>1.1641532182693481E-10</v>
      </c>
      <c r="X12" s="142">
        <f t="shared" si="2"/>
        <v>1.1641532182693481E-10</v>
      </c>
      <c r="Y12" s="142">
        <f t="shared" si="2"/>
        <v>1.1641532182693481E-10</v>
      </c>
      <c r="Z12" s="142">
        <f t="shared" si="2"/>
        <v>1.1641532182693481E-10</v>
      </c>
      <c r="AA12" s="142">
        <f t="shared" si="2"/>
        <v>1.1641532182693481E-10</v>
      </c>
      <c r="AB12" s="142">
        <f t="shared" si="2"/>
        <v>1.1641532182693481E-10</v>
      </c>
      <c r="AC12" s="142">
        <f t="shared" si="2"/>
        <v>1.1641532182693481E-10</v>
      </c>
      <c r="AD12" s="142">
        <f t="shared" si="2"/>
        <v>1.1641532182693481E-10</v>
      </c>
      <c r="AE12" s="142">
        <f t="shared" si="2"/>
        <v>1.1641532182693481E-10</v>
      </c>
      <c r="AF12" s="216">
        <f t="shared" si="2"/>
        <v>1.1641532182693481E-10</v>
      </c>
      <c r="AG12" s="221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</row>
    <row r="13" spans="1:33" s="139" customFormat="1" ht="12.75" customHeight="1" thickBot="1">
      <c r="A13" s="228" t="s">
        <v>143</v>
      </c>
      <c r="B13" s="229">
        <v>2006</v>
      </c>
      <c r="C13" s="230">
        <v>8274194</v>
      </c>
      <c r="D13" s="231">
        <v>0.018</v>
      </c>
      <c r="E13" s="136" t="s">
        <v>122</v>
      </c>
      <c r="F13" s="137">
        <v>8274193.75</v>
      </c>
      <c r="G13" s="138">
        <v>827419.4</v>
      </c>
      <c r="H13" s="138">
        <v>827419.4</v>
      </c>
      <c r="I13" s="138">
        <v>827419.4</v>
      </c>
      <c r="J13" s="138">
        <v>827419.4</v>
      </c>
      <c r="K13" s="138">
        <v>827419.4</v>
      </c>
      <c r="L13" s="138">
        <v>827419.4</v>
      </c>
      <c r="M13" s="138">
        <v>827419.15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215"/>
      <c r="AG13" s="221"/>
    </row>
    <row r="14" spans="1:33" s="139" customFormat="1" ht="13.5" thickBot="1">
      <c r="A14" s="228"/>
      <c r="B14" s="229"/>
      <c r="C14" s="230"/>
      <c r="D14" s="231"/>
      <c r="E14" s="136" t="s">
        <v>123</v>
      </c>
      <c r="F14" s="137"/>
      <c r="G14" s="138">
        <v>64180</v>
      </c>
      <c r="H14" s="138">
        <v>72859</v>
      </c>
      <c r="I14" s="138">
        <v>88117</v>
      </c>
      <c r="J14" s="138">
        <v>70493</v>
      </c>
      <c r="K14" s="138">
        <f>0.025*J15</f>
        <v>62056.448749999996</v>
      </c>
      <c r="L14" s="138">
        <f>0.025*K15</f>
        <v>41370.963749999995</v>
      </c>
      <c r="M14" s="138">
        <f>0.03*L15</f>
        <v>24822.57449999999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215"/>
      <c r="AG14" s="221"/>
    </row>
    <row r="15" spans="1:48" s="143" customFormat="1" ht="13.5" thickBot="1">
      <c r="A15" s="228"/>
      <c r="B15" s="229"/>
      <c r="C15" s="230"/>
      <c r="D15" s="231"/>
      <c r="E15" s="140" t="s">
        <v>124</v>
      </c>
      <c r="F15" s="141">
        <v>5791935.55</v>
      </c>
      <c r="G15" s="142">
        <f>IF(G$6=$B13,$C13-G13,IF(G$6&gt;$B13,F15-G13,0))</f>
        <v>4964516.149999999</v>
      </c>
      <c r="H15" s="142">
        <f aca="true" t="shared" si="3" ref="H15:AF15">IF(H$6=$B13,$C13-H13,IF(H$6&gt;$B13,G15-H13,0))</f>
        <v>4137096.7499999995</v>
      </c>
      <c r="I15" s="142">
        <f t="shared" si="3"/>
        <v>3309677.3499999996</v>
      </c>
      <c r="J15" s="142">
        <f t="shared" si="3"/>
        <v>2482257.9499999997</v>
      </c>
      <c r="K15" s="142">
        <f t="shared" si="3"/>
        <v>1654838.5499999998</v>
      </c>
      <c r="L15" s="142">
        <f t="shared" si="3"/>
        <v>827419.1499999998</v>
      </c>
      <c r="M15" s="142">
        <f t="shared" si="3"/>
        <v>-2.3283064365386963E-10</v>
      </c>
      <c r="N15" s="142">
        <f t="shared" si="3"/>
        <v>-2.3283064365386963E-10</v>
      </c>
      <c r="O15" s="142">
        <f t="shared" si="3"/>
        <v>-2.3283064365386963E-10</v>
      </c>
      <c r="P15" s="142">
        <f t="shared" si="3"/>
        <v>-2.3283064365386963E-10</v>
      </c>
      <c r="Q15" s="142">
        <f t="shared" si="3"/>
        <v>-2.3283064365386963E-10</v>
      </c>
      <c r="R15" s="142">
        <f t="shared" si="3"/>
        <v>-2.3283064365386963E-10</v>
      </c>
      <c r="S15" s="142">
        <f t="shared" si="3"/>
        <v>-2.3283064365386963E-10</v>
      </c>
      <c r="T15" s="142">
        <f t="shared" si="3"/>
        <v>-2.3283064365386963E-10</v>
      </c>
      <c r="U15" s="142">
        <f t="shared" si="3"/>
        <v>-2.3283064365386963E-10</v>
      </c>
      <c r="V15" s="142">
        <f t="shared" si="3"/>
        <v>-2.3283064365386963E-10</v>
      </c>
      <c r="W15" s="142">
        <f t="shared" si="3"/>
        <v>-2.3283064365386963E-10</v>
      </c>
      <c r="X15" s="142">
        <f t="shared" si="3"/>
        <v>-2.3283064365386963E-10</v>
      </c>
      <c r="Y15" s="142">
        <f t="shared" si="3"/>
        <v>-2.3283064365386963E-10</v>
      </c>
      <c r="Z15" s="142">
        <f t="shared" si="3"/>
        <v>-2.3283064365386963E-10</v>
      </c>
      <c r="AA15" s="142">
        <f t="shared" si="3"/>
        <v>-2.3283064365386963E-10</v>
      </c>
      <c r="AB15" s="142">
        <f t="shared" si="3"/>
        <v>-2.3283064365386963E-10</v>
      </c>
      <c r="AC15" s="142">
        <f t="shared" si="3"/>
        <v>-2.3283064365386963E-10</v>
      </c>
      <c r="AD15" s="142">
        <f t="shared" si="3"/>
        <v>-2.3283064365386963E-10</v>
      </c>
      <c r="AE15" s="142">
        <f t="shared" si="3"/>
        <v>-2.3283064365386963E-10</v>
      </c>
      <c r="AF15" s="216">
        <f t="shared" si="3"/>
        <v>-2.3283064365386963E-10</v>
      </c>
      <c r="AG15" s="221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</row>
    <row r="16" spans="1:33" s="139" customFormat="1" ht="12.75" customHeight="1" thickBot="1">
      <c r="A16" s="228" t="s">
        <v>143</v>
      </c>
      <c r="B16" s="229">
        <v>2007</v>
      </c>
      <c r="C16" s="230">
        <v>9586747</v>
      </c>
      <c r="D16" s="231">
        <v>0.012</v>
      </c>
      <c r="E16" s="136" t="s">
        <v>122</v>
      </c>
      <c r="F16" s="137">
        <v>9586747.28</v>
      </c>
      <c r="G16" s="138">
        <v>958674.73</v>
      </c>
      <c r="H16" s="138">
        <v>958674.73</v>
      </c>
      <c r="I16" s="138">
        <v>958674.73</v>
      </c>
      <c r="J16" s="138">
        <v>958674.73</v>
      </c>
      <c r="K16" s="138">
        <v>958674.73</v>
      </c>
      <c r="L16" s="138">
        <v>958674.73</v>
      </c>
      <c r="M16" s="138">
        <v>958674.73</v>
      </c>
      <c r="N16" s="138">
        <v>958674.71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215"/>
      <c r="AG16" s="221"/>
    </row>
    <row r="17" spans="1:33" s="139" customFormat="1" ht="13.5" thickBot="1">
      <c r="A17" s="228"/>
      <c r="B17" s="229"/>
      <c r="C17" s="230"/>
      <c r="D17" s="231"/>
      <c r="E17" s="136" t="s">
        <v>123</v>
      </c>
      <c r="F17" s="137"/>
      <c r="G17" s="138">
        <v>80291</v>
      </c>
      <c r="H17" s="138">
        <v>93055</v>
      </c>
      <c r="I17" s="138">
        <v>111294</v>
      </c>
      <c r="J17" s="138">
        <v>92745</v>
      </c>
      <c r="K17" s="138">
        <f>0.025*J18</f>
        <v>95867.47249999997</v>
      </c>
      <c r="L17" s="138">
        <f>0.025*K18</f>
        <v>71900.60424999997</v>
      </c>
      <c r="M17" s="138">
        <f>0.03*L18</f>
        <v>57520.483199999966</v>
      </c>
      <c r="N17" s="138">
        <f>0.03*M18</f>
        <v>28760.24129999997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215"/>
      <c r="AG17" s="221"/>
    </row>
    <row r="18" spans="1:48" s="143" customFormat="1" ht="13.5" thickBot="1">
      <c r="A18" s="228"/>
      <c r="B18" s="229"/>
      <c r="C18" s="230"/>
      <c r="D18" s="231"/>
      <c r="E18" s="140" t="s">
        <v>124</v>
      </c>
      <c r="F18" s="141">
        <v>7669397.819999999</v>
      </c>
      <c r="G18" s="142">
        <f>IF(G$6=$B16,$C16-G16,IF(G$6&gt;$B16,F18-G16,0))</f>
        <v>6710723.09</v>
      </c>
      <c r="H18" s="142">
        <f aca="true" t="shared" si="4" ref="H18:AF18">IF(H$6=$B16,$C16-H16,IF(H$6&gt;$B16,G18-H16,0))</f>
        <v>5752048.359999999</v>
      </c>
      <c r="I18" s="142">
        <f t="shared" si="4"/>
        <v>4793373.629999999</v>
      </c>
      <c r="J18" s="142">
        <f t="shared" si="4"/>
        <v>3834698.899999999</v>
      </c>
      <c r="K18" s="142">
        <f t="shared" si="4"/>
        <v>2876024.169999999</v>
      </c>
      <c r="L18" s="142">
        <f t="shared" si="4"/>
        <v>1917349.439999999</v>
      </c>
      <c r="M18" s="142">
        <f t="shared" si="4"/>
        <v>958674.709999999</v>
      </c>
      <c r="N18" s="142">
        <f t="shared" si="4"/>
        <v>-9.313225746154785E-10</v>
      </c>
      <c r="O18" s="142">
        <f t="shared" si="4"/>
        <v>-9.313225746154785E-10</v>
      </c>
      <c r="P18" s="142">
        <f t="shared" si="4"/>
        <v>-9.313225746154785E-10</v>
      </c>
      <c r="Q18" s="142">
        <f t="shared" si="4"/>
        <v>-9.313225746154785E-10</v>
      </c>
      <c r="R18" s="142">
        <f t="shared" si="4"/>
        <v>-9.313225746154785E-10</v>
      </c>
      <c r="S18" s="142">
        <f t="shared" si="4"/>
        <v>-9.313225746154785E-10</v>
      </c>
      <c r="T18" s="142">
        <f t="shared" si="4"/>
        <v>-9.313225746154785E-10</v>
      </c>
      <c r="U18" s="142">
        <f t="shared" si="4"/>
        <v>-9.313225746154785E-10</v>
      </c>
      <c r="V18" s="142">
        <f t="shared" si="4"/>
        <v>-9.313225746154785E-10</v>
      </c>
      <c r="W18" s="142">
        <f t="shared" si="4"/>
        <v>-9.313225746154785E-10</v>
      </c>
      <c r="X18" s="142">
        <f t="shared" si="4"/>
        <v>-9.313225746154785E-10</v>
      </c>
      <c r="Y18" s="142">
        <f t="shared" si="4"/>
        <v>-9.313225746154785E-10</v>
      </c>
      <c r="Z18" s="142">
        <f t="shared" si="4"/>
        <v>-9.313225746154785E-10</v>
      </c>
      <c r="AA18" s="142">
        <f t="shared" si="4"/>
        <v>-9.313225746154785E-10</v>
      </c>
      <c r="AB18" s="142">
        <f t="shared" si="4"/>
        <v>-9.313225746154785E-10</v>
      </c>
      <c r="AC18" s="142">
        <f t="shared" si="4"/>
        <v>-9.313225746154785E-10</v>
      </c>
      <c r="AD18" s="142">
        <f t="shared" si="4"/>
        <v>-9.313225746154785E-10</v>
      </c>
      <c r="AE18" s="142">
        <f t="shared" si="4"/>
        <v>-9.313225746154785E-10</v>
      </c>
      <c r="AF18" s="216">
        <f t="shared" si="4"/>
        <v>-9.313225746154785E-10</v>
      </c>
      <c r="AG18" s="221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</row>
    <row r="19" spans="1:33" s="139" customFormat="1" ht="12.75" customHeight="1" thickBot="1">
      <c r="A19" s="228" t="s">
        <v>140</v>
      </c>
      <c r="B19" s="229">
        <v>2007</v>
      </c>
      <c r="C19" s="230">
        <v>5229315</v>
      </c>
      <c r="D19" s="231">
        <v>0.018</v>
      </c>
      <c r="E19" s="136" t="s">
        <v>122</v>
      </c>
      <c r="F19" s="137">
        <v>5229314.99</v>
      </c>
      <c r="G19" s="138">
        <v>522931.5</v>
      </c>
      <c r="H19" s="138">
        <v>522931.5</v>
      </c>
      <c r="I19" s="138">
        <v>522931.5</v>
      </c>
      <c r="J19" s="138">
        <v>522931.5</v>
      </c>
      <c r="K19" s="138">
        <v>522931.5</v>
      </c>
      <c r="L19" s="138">
        <v>522931.5</v>
      </c>
      <c r="M19" s="138">
        <v>522931.5</v>
      </c>
      <c r="N19" s="138">
        <v>522931.49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15"/>
      <c r="AG19" s="221"/>
    </row>
    <row r="20" spans="1:33" s="139" customFormat="1" ht="13.5" thickBot="1">
      <c r="A20" s="228"/>
      <c r="B20" s="229"/>
      <c r="C20" s="230"/>
      <c r="D20" s="231"/>
      <c r="E20" s="136" t="s">
        <v>123</v>
      </c>
      <c r="F20" s="137"/>
      <c r="G20" s="138">
        <v>46016</v>
      </c>
      <c r="H20" s="138">
        <v>53814</v>
      </c>
      <c r="I20" s="138">
        <v>63656</v>
      </c>
      <c r="J20" s="138">
        <v>53046</v>
      </c>
      <c r="K20" s="138">
        <f>0.025*J21</f>
        <v>52293.14975000001</v>
      </c>
      <c r="L20" s="138">
        <f>0.025*K21</f>
        <v>39219.862250000006</v>
      </c>
      <c r="M20" s="138">
        <f>0.03*L21</f>
        <v>31375.889700000007</v>
      </c>
      <c r="N20" s="138">
        <f>0.03*M21</f>
        <v>15687.944700000005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215"/>
      <c r="AG20" s="221"/>
    </row>
    <row r="21" spans="1:48" s="143" customFormat="1" ht="13.5" thickBot="1">
      <c r="A21" s="228"/>
      <c r="B21" s="229"/>
      <c r="C21" s="230"/>
      <c r="D21" s="231"/>
      <c r="E21" s="140" t="s">
        <v>124</v>
      </c>
      <c r="F21" s="141">
        <v>4183451.99</v>
      </c>
      <c r="G21" s="142">
        <f>IF(G$6=$B19,$C19-G19,IF(G$6&gt;$B19,F21-G19,0))</f>
        <v>3660520.49</v>
      </c>
      <c r="H21" s="142">
        <f aca="true" t="shared" si="5" ref="H21:AF21">IF(H$6=$B19,$C19-H19,IF(H$6&gt;$B19,G21-H19,0))</f>
        <v>3137588.99</v>
      </c>
      <c r="I21" s="142">
        <f t="shared" si="5"/>
        <v>2614657.49</v>
      </c>
      <c r="J21" s="142">
        <f t="shared" si="5"/>
        <v>2091725.9900000002</v>
      </c>
      <c r="K21" s="142">
        <f t="shared" si="5"/>
        <v>1568794.4900000002</v>
      </c>
      <c r="L21" s="142">
        <f t="shared" si="5"/>
        <v>1045862.9900000002</v>
      </c>
      <c r="M21" s="142">
        <f t="shared" si="5"/>
        <v>522931.4900000002</v>
      </c>
      <c r="N21" s="142">
        <f t="shared" si="5"/>
        <v>2.3283064365386963E-10</v>
      </c>
      <c r="O21" s="142">
        <f t="shared" si="5"/>
        <v>2.3283064365386963E-10</v>
      </c>
      <c r="P21" s="142">
        <f t="shared" si="5"/>
        <v>2.3283064365386963E-10</v>
      </c>
      <c r="Q21" s="142">
        <f t="shared" si="5"/>
        <v>2.3283064365386963E-10</v>
      </c>
      <c r="R21" s="142">
        <f t="shared" si="5"/>
        <v>2.3283064365386963E-10</v>
      </c>
      <c r="S21" s="142">
        <f t="shared" si="5"/>
        <v>2.3283064365386963E-10</v>
      </c>
      <c r="T21" s="142">
        <f t="shared" si="5"/>
        <v>2.3283064365386963E-10</v>
      </c>
      <c r="U21" s="142">
        <f t="shared" si="5"/>
        <v>2.3283064365386963E-10</v>
      </c>
      <c r="V21" s="142">
        <f t="shared" si="5"/>
        <v>2.3283064365386963E-10</v>
      </c>
      <c r="W21" s="142">
        <f t="shared" si="5"/>
        <v>2.3283064365386963E-10</v>
      </c>
      <c r="X21" s="142">
        <f t="shared" si="5"/>
        <v>2.3283064365386963E-10</v>
      </c>
      <c r="Y21" s="142">
        <f t="shared" si="5"/>
        <v>2.3283064365386963E-10</v>
      </c>
      <c r="Z21" s="142">
        <f t="shared" si="5"/>
        <v>2.3283064365386963E-10</v>
      </c>
      <c r="AA21" s="142">
        <f t="shared" si="5"/>
        <v>2.3283064365386963E-10</v>
      </c>
      <c r="AB21" s="142">
        <f t="shared" si="5"/>
        <v>2.3283064365386963E-10</v>
      </c>
      <c r="AC21" s="142">
        <f t="shared" si="5"/>
        <v>2.3283064365386963E-10</v>
      </c>
      <c r="AD21" s="142">
        <f t="shared" si="5"/>
        <v>2.3283064365386963E-10</v>
      </c>
      <c r="AE21" s="142">
        <f t="shared" si="5"/>
        <v>2.3283064365386963E-10</v>
      </c>
      <c r="AF21" s="216">
        <f t="shared" si="5"/>
        <v>2.3283064365386963E-10</v>
      </c>
      <c r="AG21" s="221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</row>
    <row r="22" spans="1:33" s="139" customFormat="1" ht="12.75" customHeight="1" thickBot="1">
      <c r="A22" s="228" t="s">
        <v>140</v>
      </c>
      <c r="B22" s="229">
        <v>2008</v>
      </c>
      <c r="C22" s="230">
        <v>8272404</v>
      </c>
      <c r="D22" s="231">
        <v>0.0176</v>
      </c>
      <c r="E22" s="136" t="s">
        <v>122</v>
      </c>
      <c r="F22" s="137">
        <v>8272404.22</v>
      </c>
      <c r="G22" s="138"/>
      <c r="H22" s="138"/>
      <c r="I22" s="138"/>
      <c r="J22" s="138">
        <v>8272404.22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215"/>
      <c r="AG22" s="221"/>
    </row>
    <row r="23" spans="1:33" s="139" customFormat="1" ht="13.5" thickBot="1">
      <c r="A23" s="228"/>
      <c r="B23" s="229"/>
      <c r="C23" s="230"/>
      <c r="D23" s="231"/>
      <c r="E23" s="136" t="s">
        <v>123</v>
      </c>
      <c r="F23" s="137"/>
      <c r="G23" s="138">
        <v>120906</v>
      </c>
      <c r="H23" s="138">
        <v>143929</v>
      </c>
      <c r="I23" s="138">
        <v>190055</v>
      </c>
      <c r="J23" s="138">
        <v>190055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215"/>
      <c r="AG23" s="221"/>
    </row>
    <row r="24" spans="1:48" s="143" customFormat="1" ht="13.5" thickBot="1">
      <c r="A24" s="228"/>
      <c r="B24" s="229"/>
      <c r="C24" s="230"/>
      <c r="D24" s="231"/>
      <c r="E24" s="140" t="s">
        <v>124</v>
      </c>
      <c r="F24" s="141">
        <v>8272404.22</v>
      </c>
      <c r="G24" s="142">
        <f>IF(G$6=$B22,$C22-G22,IF(G$6&gt;$B22,F24-G22,0))</f>
        <v>8272404.22</v>
      </c>
      <c r="H24" s="142">
        <f aca="true" t="shared" si="6" ref="H24:AF24">IF(H$6=$B22,$C22-H22,IF(H$6&gt;$B22,G24-H22,0))</f>
        <v>8272404.22</v>
      </c>
      <c r="I24" s="142">
        <f t="shared" si="6"/>
        <v>8272404.22</v>
      </c>
      <c r="J24" s="142">
        <f t="shared" si="6"/>
        <v>0</v>
      </c>
      <c r="K24" s="142">
        <f t="shared" si="6"/>
        <v>0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2">
        <f t="shared" si="6"/>
        <v>0</v>
      </c>
      <c r="R24" s="142">
        <f t="shared" si="6"/>
        <v>0</v>
      </c>
      <c r="S24" s="142">
        <f t="shared" si="6"/>
        <v>0</v>
      </c>
      <c r="T24" s="142">
        <f t="shared" si="6"/>
        <v>0</v>
      </c>
      <c r="U24" s="142">
        <f t="shared" si="6"/>
        <v>0</v>
      </c>
      <c r="V24" s="142">
        <f t="shared" si="6"/>
        <v>0</v>
      </c>
      <c r="W24" s="142">
        <f t="shared" si="6"/>
        <v>0</v>
      </c>
      <c r="X24" s="142">
        <f t="shared" si="6"/>
        <v>0</v>
      </c>
      <c r="Y24" s="142">
        <f t="shared" si="6"/>
        <v>0</v>
      </c>
      <c r="Z24" s="142">
        <f t="shared" si="6"/>
        <v>0</v>
      </c>
      <c r="AA24" s="142">
        <f t="shared" si="6"/>
        <v>0</v>
      </c>
      <c r="AB24" s="142">
        <f t="shared" si="6"/>
        <v>0</v>
      </c>
      <c r="AC24" s="142">
        <f t="shared" si="6"/>
        <v>0</v>
      </c>
      <c r="AD24" s="142">
        <f t="shared" si="6"/>
        <v>0</v>
      </c>
      <c r="AE24" s="142">
        <f t="shared" si="6"/>
        <v>0</v>
      </c>
      <c r="AF24" s="216">
        <f t="shared" si="6"/>
        <v>0</v>
      </c>
      <c r="AG24" s="221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</row>
    <row r="25" spans="1:33" s="139" customFormat="1" ht="12.75" customHeight="1" thickBot="1">
      <c r="A25" s="228" t="s">
        <v>142</v>
      </c>
      <c r="B25" s="229">
        <v>2009</v>
      </c>
      <c r="C25" s="230">
        <v>4693300</v>
      </c>
      <c r="D25" s="231">
        <v>0.025</v>
      </c>
      <c r="E25" s="136" t="s">
        <v>122</v>
      </c>
      <c r="F25" s="137">
        <v>4693300</v>
      </c>
      <c r="G25" s="138">
        <v>938660</v>
      </c>
      <c r="H25" s="138">
        <v>938660</v>
      </c>
      <c r="I25" s="138">
        <v>938660</v>
      </c>
      <c r="J25" s="138">
        <v>938660</v>
      </c>
      <c r="K25" s="138">
        <v>938660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215"/>
      <c r="AG25" s="221"/>
    </row>
    <row r="26" spans="1:33" s="139" customFormat="1" ht="13.5" thickBot="1">
      <c r="A26" s="228"/>
      <c r="B26" s="229"/>
      <c r="C26" s="230"/>
      <c r="D26" s="231"/>
      <c r="E26" s="136" t="s">
        <v>123</v>
      </c>
      <c r="F26" s="137"/>
      <c r="G26" s="138">
        <v>204679</v>
      </c>
      <c r="H26" s="138">
        <v>174351</v>
      </c>
      <c r="I26" s="138">
        <v>85872</v>
      </c>
      <c r="J26" s="138">
        <v>57248</v>
      </c>
      <c r="K26" s="138">
        <f>0.025*J27</f>
        <v>23466.5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215"/>
      <c r="AG26" s="221"/>
    </row>
    <row r="27" spans="1:48" s="143" customFormat="1" ht="13.5" thickBot="1">
      <c r="A27" s="228"/>
      <c r="B27" s="229"/>
      <c r="C27" s="230"/>
      <c r="D27" s="231"/>
      <c r="E27" s="140" t="s">
        <v>124</v>
      </c>
      <c r="F27" s="141">
        <v>4693300</v>
      </c>
      <c r="G27" s="142">
        <f>IF(G$6=$B25,$C25-G25,IF(G$6&gt;$B25,F27-G25,0))</f>
        <v>3754640</v>
      </c>
      <c r="H27" s="142">
        <f aca="true" t="shared" si="7" ref="H27:AF27">IF(H$6=$B25,$C25-H25,IF(H$6&gt;$B25,G27-H25,0))</f>
        <v>2815980</v>
      </c>
      <c r="I27" s="142">
        <f t="shared" si="7"/>
        <v>1877320</v>
      </c>
      <c r="J27" s="142">
        <f t="shared" si="7"/>
        <v>938660</v>
      </c>
      <c r="K27" s="142">
        <f t="shared" si="7"/>
        <v>0</v>
      </c>
      <c r="L27" s="142">
        <f t="shared" si="7"/>
        <v>0</v>
      </c>
      <c r="M27" s="142">
        <f t="shared" si="7"/>
        <v>0</v>
      </c>
      <c r="N27" s="142">
        <f t="shared" si="7"/>
        <v>0</v>
      </c>
      <c r="O27" s="142">
        <f t="shared" si="7"/>
        <v>0</v>
      </c>
      <c r="P27" s="142">
        <f t="shared" si="7"/>
        <v>0</v>
      </c>
      <c r="Q27" s="142">
        <f t="shared" si="7"/>
        <v>0</v>
      </c>
      <c r="R27" s="142">
        <f t="shared" si="7"/>
        <v>0</v>
      </c>
      <c r="S27" s="142">
        <f t="shared" si="7"/>
        <v>0</v>
      </c>
      <c r="T27" s="142">
        <f t="shared" si="7"/>
        <v>0</v>
      </c>
      <c r="U27" s="142">
        <f t="shared" si="7"/>
        <v>0</v>
      </c>
      <c r="V27" s="142">
        <f t="shared" si="7"/>
        <v>0</v>
      </c>
      <c r="W27" s="142">
        <f t="shared" si="7"/>
        <v>0</v>
      </c>
      <c r="X27" s="142">
        <f t="shared" si="7"/>
        <v>0</v>
      </c>
      <c r="Y27" s="142">
        <f t="shared" si="7"/>
        <v>0</v>
      </c>
      <c r="Z27" s="142">
        <f t="shared" si="7"/>
        <v>0</v>
      </c>
      <c r="AA27" s="142">
        <f t="shared" si="7"/>
        <v>0</v>
      </c>
      <c r="AB27" s="142">
        <f t="shared" si="7"/>
        <v>0</v>
      </c>
      <c r="AC27" s="142">
        <f t="shared" si="7"/>
        <v>0</v>
      </c>
      <c r="AD27" s="142">
        <f t="shared" si="7"/>
        <v>0</v>
      </c>
      <c r="AE27" s="142">
        <f t="shared" si="7"/>
        <v>0</v>
      </c>
      <c r="AF27" s="216">
        <f t="shared" si="7"/>
        <v>0</v>
      </c>
      <c r="AG27" s="221"/>
      <c r="AH27" s="210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</row>
    <row r="28" spans="1:33" s="139" customFormat="1" ht="12.75" customHeight="1" thickBot="1">
      <c r="A28" s="228" t="s">
        <v>141</v>
      </c>
      <c r="B28" s="229">
        <v>2010</v>
      </c>
      <c r="C28" s="230">
        <v>3570807</v>
      </c>
      <c r="D28" s="231">
        <v>0.0277</v>
      </c>
      <c r="E28" s="136" t="s">
        <v>122</v>
      </c>
      <c r="F28" s="137"/>
      <c r="G28" s="138"/>
      <c r="H28" s="138">
        <v>714161</v>
      </c>
      <c r="I28" s="138">
        <v>714161</v>
      </c>
      <c r="J28" s="138">
        <v>714161</v>
      </c>
      <c r="K28" s="138">
        <v>714161</v>
      </c>
      <c r="L28" s="138">
        <v>714163</v>
      </c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215"/>
      <c r="AG28" s="221"/>
    </row>
    <row r="29" spans="1:33" s="139" customFormat="1" ht="13.5" thickBot="1">
      <c r="A29" s="228"/>
      <c r="B29" s="229"/>
      <c r="C29" s="230"/>
      <c r="D29" s="231"/>
      <c r="E29" s="136" t="s">
        <v>123</v>
      </c>
      <c r="F29" s="137"/>
      <c r="G29" s="138"/>
      <c r="H29" s="138">
        <v>98744</v>
      </c>
      <c r="I29" s="138">
        <v>95387</v>
      </c>
      <c r="J29" s="138">
        <v>71540</v>
      </c>
      <c r="K29" s="138">
        <f>0.035*J30</f>
        <v>49991.340000000004</v>
      </c>
      <c r="L29" s="138">
        <f>0.035*K30</f>
        <v>24995.705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215"/>
      <c r="AG29" s="221"/>
    </row>
    <row r="30" spans="1:48" s="143" customFormat="1" ht="13.5" thickBot="1">
      <c r="A30" s="228"/>
      <c r="B30" s="229"/>
      <c r="C30" s="230"/>
      <c r="D30" s="231"/>
      <c r="E30" s="140" t="s">
        <v>124</v>
      </c>
      <c r="F30" s="141"/>
      <c r="G30" s="142">
        <f>IF(G$6=$B28,$C28-G28,IF(G$6&gt;$B28,F30-G28,0))</f>
        <v>3570807</v>
      </c>
      <c r="H30" s="142">
        <f aca="true" t="shared" si="8" ref="H30:AF30">IF(H$6=$B28,$C28-H28,IF(H$6&gt;$B28,G30-H28,0))</f>
        <v>2856646</v>
      </c>
      <c r="I30" s="142">
        <f t="shared" si="8"/>
        <v>2142485</v>
      </c>
      <c r="J30" s="142">
        <f t="shared" si="8"/>
        <v>1428324</v>
      </c>
      <c r="K30" s="142">
        <f t="shared" si="8"/>
        <v>714163</v>
      </c>
      <c r="L30" s="142">
        <f t="shared" si="8"/>
        <v>0</v>
      </c>
      <c r="M30" s="142">
        <f t="shared" si="8"/>
        <v>0</v>
      </c>
      <c r="N30" s="142">
        <f t="shared" si="8"/>
        <v>0</v>
      </c>
      <c r="O30" s="142">
        <f t="shared" si="8"/>
        <v>0</v>
      </c>
      <c r="P30" s="142">
        <f t="shared" si="8"/>
        <v>0</v>
      </c>
      <c r="Q30" s="142">
        <f t="shared" si="8"/>
        <v>0</v>
      </c>
      <c r="R30" s="142">
        <f t="shared" si="8"/>
        <v>0</v>
      </c>
      <c r="S30" s="142">
        <f t="shared" si="8"/>
        <v>0</v>
      </c>
      <c r="T30" s="142">
        <f t="shared" si="8"/>
        <v>0</v>
      </c>
      <c r="U30" s="142">
        <f t="shared" si="8"/>
        <v>0</v>
      </c>
      <c r="V30" s="142">
        <f t="shared" si="8"/>
        <v>0</v>
      </c>
      <c r="W30" s="142">
        <f t="shared" si="8"/>
        <v>0</v>
      </c>
      <c r="X30" s="142">
        <f t="shared" si="8"/>
        <v>0</v>
      </c>
      <c r="Y30" s="142">
        <f t="shared" si="8"/>
        <v>0</v>
      </c>
      <c r="Z30" s="142">
        <f t="shared" si="8"/>
        <v>0</v>
      </c>
      <c r="AA30" s="142">
        <f t="shared" si="8"/>
        <v>0</v>
      </c>
      <c r="AB30" s="142">
        <f t="shared" si="8"/>
        <v>0</v>
      </c>
      <c r="AC30" s="142">
        <f t="shared" si="8"/>
        <v>0</v>
      </c>
      <c r="AD30" s="142">
        <f t="shared" si="8"/>
        <v>0</v>
      </c>
      <c r="AE30" s="142">
        <f t="shared" si="8"/>
        <v>0</v>
      </c>
      <c r="AF30" s="216">
        <f t="shared" si="8"/>
        <v>0</v>
      </c>
      <c r="AG30" s="221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</row>
    <row r="31" spans="1:33" s="139" customFormat="1" ht="12.75" customHeight="1" thickBot="1">
      <c r="A31" s="228" t="s">
        <v>141</v>
      </c>
      <c r="B31" s="229">
        <v>2011</v>
      </c>
      <c r="C31" s="230">
        <v>11320800</v>
      </c>
      <c r="D31" s="231">
        <v>0.0226</v>
      </c>
      <c r="E31" s="136" t="s">
        <v>122</v>
      </c>
      <c r="F31" s="137"/>
      <c r="G31" s="138"/>
      <c r="H31" s="138"/>
      <c r="I31" s="138">
        <v>1132080</v>
      </c>
      <c r="J31" s="138">
        <v>1132080</v>
      </c>
      <c r="K31" s="138">
        <v>1132080</v>
      </c>
      <c r="L31" s="138">
        <v>1132080</v>
      </c>
      <c r="M31" s="138">
        <v>1132080</v>
      </c>
      <c r="N31" s="138">
        <v>1132080</v>
      </c>
      <c r="O31" s="138">
        <v>1132080</v>
      </c>
      <c r="P31" s="138">
        <v>1132080</v>
      </c>
      <c r="Q31" s="138">
        <v>1132080</v>
      </c>
      <c r="R31" s="138">
        <v>1132080</v>
      </c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215"/>
      <c r="AG31" s="221"/>
    </row>
    <row r="32" spans="1:33" s="139" customFormat="1" ht="13.5" thickBot="1">
      <c r="A32" s="228"/>
      <c r="B32" s="229"/>
      <c r="C32" s="230"/>
      <c r="D32" s="231"/>
      <c r="E32" s="136" t="s">
        <v>123</v>
      </c>
      <c r="F32" s="137"/>
      <c r="G32" s="138"/>
      <c r="H32" s="138">
        <v>42192</v>
      </c>
      <c r="I32" s="138">
        <v>307825</v>
      </c>
      <c r="J32" s="138">
        <v>277045</v>
      </c>
      <c r="K32" s="138">
        <f>0.035*J33</f>
        <v>316982.4</v>
      </c>
      <c r="L32" s="138">
        <f>0.035*K33</f>
        <v>277359.60000000003</v>
      </c>
      <c r="M32" s="138">
        <f>0.045*L33</f>
        <v>305661.6</v>
      </c>
      <c r="N32" s="138">
        <f>0.045*M33</f>
        <v>254718</v>
      </c>
      <c r="O32" s="138">
        <f>0.045*N33</f>
        <v>203774.4</v>
      </c>
      <c r="P32" s="138">
        <f>0.05*O33</f>
        <v>169812</v>
      </c>
      <c r="Q32" s="138">
        <f>0.05*P33</f>
        <v>113208</v>
      </c>
      <c r="R32" s="138">
        <f>0.05*Q33</f>
        <v>56604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215"/>
      <c r="AG32" s="221"/>
    </row>
    <row r="33" spans="1:48" s="143" customFormat="1" ht="13.5" thickBot="1">
      <c r="A33" s="228"/>
      <c r="B33" s="229"/>
      <c r="C33" s="230"/>
      <c r="D33" s="231"/>
      <c r="E33" s="140" t="s">
        <v>124</v>
      </c>
      <c r="F33" s="141"/>
      <c r="G33" s="142">
        <f>IF(G$6=$B31,$C31-G31,IF(G$6&gt;$B31,F33-G31,0))</f>
        <v>0</v>
      </c>
      <c r="H33" s="142">
        <f aca="true" t="shared" si="9" ref="H33:AF33">IF(H$6=$B31,$C31-H31,IF(H$6&gt;$B31,G33-H31,0))</f>
        <v>11320800</v>
      </c>
      <c r="I33" s="142">
        <f t="shared" si="9"/>
        <v>10188720</v>
      </c>
      <c r="J33" s="142">
        <f t="shared" si="9"/>
        <v>9056640</v>
      </c>
      <c r="K33" s="142">
        <f t="shared" si="9"/>
        <v>7924560</v>
      </c>
      <c r="L33" s="142">
        <f t="shared" si="9"/>
        <v>6792480</v>
      </c>
      <c r="M33" s="142">
        <f t="shared" si="9"/>
        <v>5660400</v>
      </c>
      <c r="N33" s="142">
        <f t="shared" si="9"/>
        <v>4528320</v>
      </c>
      <c r="O33" s="142">
        <f t="shared" si="9"/>
        <v>3396240</v>
      </c>
      <c r="P33" s="142">
        <f t="shared" si="9"/>
        <v>2264160</v>
      </c>
      <c r="Q33" s="142">
        <f t="shared" si="9"/>
        <v>1132080</v>
      </c>
      <c r="R33" s="142">
        <f t="shared" si="9"/>
        <v>0</v>
      </c>
      <c r="S33" s="142">
        <f t="shared" si="9"/>
        <v>0</v>
      </c>
      <c r="T33" s="142">
        <f t="shared" si="9"/>
        <v>0</v>
      </c>
      <c r="U33" s="142">
        <f t="shared" si="9"/>
        <v>0</v>
      </c>
      <c r="V33" s="142">
        <f t="shared" si="9"/>
        <v>0</v>
      </c>
      <c r="W33" s="142">
        <f t="shared" si="9"/>
        <v>0</v>
      </c>
      <c r="X33" s="142">
        <f t="shared" si="9"/>
        <v>0</v>
      </c>
      <c r="Y33" s="142">
        <f t="shared" si="9"/>
        <v>0</v>
      </c>
      <c r="Z33" s="142">
        <f t="shared" si="9"/>
        <v>0</v>
      </c>
      <c r="AA33" s="142">
        <f t="shared" si="9"/>
        <v>0</v>
      </c>
      <c r="AB33" s="142">
        <f t="shared" si="9"/>
        <v>0</v>
      </c>
      <c r="AC33" s="142">
        <f t="shared" si="9"/>
        <v>0</v>
      </c>
      <c r="AD33" s="142">
        <f t="shared" si="9"/>
        <v>0</v>
      </c>
      <c r="AE33" s="142">
        <f t="shared" si="9"/>
        <v>0</v>
      </c>
      <c r="AF33" s="216">
        <f t="shared" si="9"/>
        <v>0</v>
      </c>
      <c r="AG33" s="221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</row>
    <row r="34" spans="1:33" s="139" customFormat="1" ht="12.75" customHeight="1" thickBot="1">
      <c r="A34" s="228" t="s">
        <v>133</v>
      </c>
      <c r="B34" s="229">
        <v>2008</v>
      </c>
      <c r="C34" s="230">
        <v>6538481</v>
      </c>
      <c r="D34" s="231"/>
      <c r="E34" s="136" t="s">
        <v>122</v>
      </c>
      <c r="F34" s="137">
        <v>6538481</v>
      </c>
      <c r="G34" s="138">
        <v>214490</v>
      </c>
      <c r="H34" s="138">
        <v>224120.17</v>
      </c>
      <c r="I34" s="138">
        <v>234182.78</v>
      </c>
      <c r="J34" s="138">
        <v>244697.18</v>
      </c>
      <c r="K34" s="138">
        <v>255683.66</v>
      </c>
      <c r="L34" s="138">
        <v>267163.4</v>
      </c>
      <c r="M34" s="138">
        <v>279158.58</v>
      </c>
      <c r="N34" s="138">
        <v>291692.32</v>
      </c>
      <c r="O34" s="138">
        <v>304788.8</v>
      </c>
      <c r="P34" s="138">
        <v>318473.29</v>
      </c>
      <c r="Q34" s="138">
        <v>332772.19</v>
      </c>
      <c r="R34" s="138">
        <v>347713.09</v>
      </c>
      <c r="S34" s="138">
        <v>363324.8</v>
      </c>
      <c r="T34" s="138">
        <v>379637.46</v>
      </c>
      <c r="U34" s="138">
        <v>396682.51</v>
      </c>
      <c r="V34" s="138">
        <v>1769980.59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215"/>
      <c r="AG34" s="221"/>
    </row>
    <row r="35" spans="1:33" s="139" customFormat="1" ht="13.5" thickBot="1">
      <c r="A35" s="228"/>
      <c r="B35" s="229"/>
      <c r="C35" s="230"/>
      <c r="D35" s="231"/>
      <c r="E35" s="136" t="s">
        <v>123</v>
      </c>
      <c r="F35" s="137"/>
      <c r="G35" s="138">
        <v>269589</v>
      </c>
      <c r="H35" s="138">
        <f>580895.25-H34</f>
        <v>356775.07999999996</v>
      </c>
      <c r="I35" s="138">
        <f>580895.25-I34</f>
        <v>346712.47</v>
      </c>
      <c r="J35" s="138">
        <f aca="true" t="shared" si="10" ref="J35:U35">580895.25-J34</f>
        <v>336198.07</v>
      </c>
      <c r="K35" s="138">
        <f t="shared" si="10"/>
        <v>325211.58999999997</v>
      </c>
      <c r="L35" s="138">
        <f t="shared" si="10"/>
        <v>313731.85</v>
      </c>
      <c r="M35" s="138">
        <f t="shared" si="10"/>
        <v>301736.67</v>
      </c>
      <c r="N35" s="138">
        <f t="shared" si="10"/>
        <v>289202.93</v>
      </c>
      <c r="O35" s="138">
        <f t="shared" si="10"/>
        <v>276106.45</v>
      </c>
      <c r="P35" s="138">
        <f t="shared" si="10"/>
        <v>262421.96</v>
      </c>
      <c r="Q35" s="138">
        <f t="shared" si="10"/>
        <v>248123.06</v>
      </c>
      <c r="R35" s="138">
        <f t="shared" si="10"/>
        <v>233182.15999999997</v>
      </c>
      <c r="S35" s="138">
        <f t="shared" si="10"/>
        <v>217570.45</v>
      </c>
      <c r="T35" s="138">
        <f t="shared" si="10"/>
        <v>201257.78999999998</v>
      </c>
      <c r="U35" s="138">
        <f t="shared" si="10"/>
        <v>184212.74</v>
      </c>
      <c r="V35" s="138">
        <v>412098.39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215"/>
      <c r="AG35" s="221"/>
    </row>
    <row r="36" spans="1:48" s="143" customFormat="1" ht="13.5" thickBot="1">
      <c r="A36" s="228"/>
      <c r="B36" s="229"/>
      <c r="C36" s="230"/>
      <c r="D36" s="231"/>
      <c r="E36" s="140" t="s">
        <v>124</v>
      </c>
      <c r="F36" s="141">
        <v>6224561</v>
      </c>
      <c r="G36" s="142">
        <f>IF(G$6=$B34,$C34-G34,IF(G$6&gt;$B34,F36-G34,0))</f>
        <v>6010071</v>
      </c>
      <c r="H36" s="142">
        <f aca="true" t="shared" si="11" ref="H36:AF36">IF(H$6=$B34,$C34-H34,IF(H$6&gt;$B34,G36-H34,0))</f>
        <v>5785950.83</v>
      </c>
      <c r="I36" s="142">
        <f t="shared" si="11"/>
        <v>5551768.05</v>
      </c>
      <c r="J36" s="142">
        <f t="shared" si="11"/>
        <v>5307070.87</v>
      </c>
      <c r="K36" s="142">
        <f t="shared" si="11"/>
        <v>5051387.21</v>
      </c>
      <c r="L36" s="142">
        <f t="shared" si="11"/>
        <v>4784223.81</v>
      </c>
      <c r="M36" s="142">
        <f t="shared" si="11"/>
        <v>4505065.2299999995</v>
      </c>
      <c r="N36" s="142">
        <f t="shared" si="11"/>
        <v>4213372.909999999</v>
      </c>
      <c r="O36" s="142">
        <f t="shared" si="11"/>
        <v>3908584.1099999994</v>
      </c>
      <c r="P36" s="142">
        <f t="shared" si="11"/>
        <v>3590110.8199999994</v>
      </c>
      <c r="Q36" s="142">
        <f t="shared" si="11"/>
        <v>3257338.6299999994</v>
      </c>
      <c r="R36" s="142">
        <f t="shared" si="11"/>
        <v>2909625.5399999996</v>
      </c>
      <c r="S36" s="142">
        <f t="shared" si="11"/>
        <v>2546300.7399999998</v>
      </c>
      <c r="T36" s="142">
        <f t="shared" si="11"/>
        <v>2166663.28</v>
      </c>
      <c r="U36" s="142">
        <f t="shared" si="11"/>
        <v>1769980.7699999998</v>
      </c>
      <c r="V36" s="142">
        <f t="shared" si="11"/>
        <v>0.17999999970197678</v>
      </c>
      <c r="W36" s="142">
        <f t="shared" si="11"/>
        <v>0.17999999970197678</v>
      </c>
      <c r="X36" s="142">
        <f t="shared" si="11"/>
        <v>0.17999999970197678</v>
      </c>
      <c r="Y36" s="142">
        <f t="shared" si="11"/>
        <v>0.17999999970197678</v>
      </c>
      <c r="Z36" s="142">
        <f t="shared" si="11"/>
        <v>0.17999999970197678</v>
      </c>
      <c r="AA36" s="142">
        <f t="shared" si="11"/>
        <v>0.17999999970197678</v>
      </c>
      <c r="AB36" s="142">
        <f t="shared" si="11"/>
        <v>0.17999999970197678</v>
      </c>
      <c r="AC36" s="142">
        <f t="shared" si="11"/>
        <v>0.17999999970197678</v>
      </c>
      <c r="AD36" s="142">
        <f t="shared" si="11"/>
        <v>0.17999999970197678</v>
      </c>
      <c r="AE36" s="142">
        <f t="shared" si="11"/>
        <v>0.17999999970197678</v>
      </c>
      <c r="AF36" s="216">
        <f t="shared" si="11"/>
        <v>0.17999999970197678</v>
      </c>
      <c r="AG36" s="221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</row>
    <row r="37" spans="1:33" s="139" customFormat="1" ht="12.75" customHeight="1" thickBot="1">
      <c r="A37" s="228" t="s">
        <v>134</v>
      </c>
      <c r="B37" s="229">
        <v>2008</v>
      </c>
      <c r="C37" s="230">
        <v>17494</v>
      </c>
      <c r="D37" s="231"/>
      <c r="E37" s="136" t="s">
        <v>122</v>
      </c>
      <c r="F37" s="137">
        <v>17494.34</v>
      </c>
      <c r="G37" s="138">
        <f>233.31+234.5+235.71+236.91+238.13+239.35+240.58+241.81+243.05+244.29+245.55+246.8</f>
        <v>2879.9900000000002</v>
      </c>
      <c r="H37" s="138">
        <f>248.07+249.34+250.62+251.9+253.19+254.49+255.8+257.11+258.42+259.75+261.08+262.42</f>
        <v>3062.19</v>
      </c>
      <c r="I37" s="138">
        <f>263.76+265.11+266.47+267.84+269.21+270.59+271.98+273.37+274.77+276.18+277.6+279.02</f>
        <v>3255.8999999999996</v>
      </c>
      <c r="J37" s="138">
        <f>280.45+281.89+283.33+284.78+286.24+287.71+289.18+290.67+292.16+294.06</f>
        <v>2870.47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215"/>
      <c r="AG37" s="221"/>
    </row>
    <row r="38" spans="1:33" s="139" customFormat="1" ht="13.5" thickBot="1">
      <c r="A38" s="228"/>
      <c r="B38" s="229"/>
      <c r="C38" s="230"/>
      <c r="D38" s="231"/>
      <c r="E38" s="136" t="s">
        <v>123</v>
      </c>
      <c r="F38" s="137">
        <v>2499.5</v>
      </c>
      <c r="G38" s="138">
        <f>295.16*12-G37</f>
        <v>661.9299999999998</v>
      </c>
      <c r="H38" s="138">
        <f>295.16*12-H37</f>
        <v>479.73</v>
      </c>
      <c r="I38" s="138">
        <f>295.16*12-I37</f>
        <v>286.02000000000044</v>
      </c>
      <c r="J38" s="138">
        <f>295.16*10-J37</f>
        <v>81.13000000000056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215"/>
      <c r="AG38" s="221"/>
    </row>
    <row r="39" spans="1:48" s="143" customFormat="1" ht="13.5" thickBot="1">
      <c r="A39" s="228"/>
      <c r="B39" s="229"/>
      <c r="C39" s="230"/>
      <c r="D39" s="231"/>
      <c r="E39" s="140" t="s">
        <v>124</v>
      </c>
      <c r="F39" s="141">
        <v>12068.55</v>
      </c>
      <c r="G39" s="142">
        <f aca="true" t="shared" si="12" ref="G39:AF39">IF(G$6=$B37,$C37-G37,IF(G$6&gt;$B37,F39-G37,0))</f>
        <v>9188.56</v>
      </c>
      <c r="H39" s="142">
        <f t="shared" si="12"/>
        <v>6126.369999999999</v>
      </c>
      <c r="I39" s="142">
        <f t="shared" si="12"/>
        <v>2870.4699999999993</v>
      </c>
      <c r="J39" s="142">
        <f t="shared" si="12"/>
        <v>-4.547473508864641E-13</v>
      </c>
      <c r="K39" s="142">
        <f t="shared" si="12"/>
        <v>-4.547473508864641E-13</v>
      </c>
      <c r="L39" s="142">
        <f t="shared" si="12"/>
        <v>-4.547473508864641E-13</v>
      </c>
      <c r="M39" s="142">
        <f t="shared" si="12"/>
        <v>-4.547473508864641E-13</v>
      </c>
      <c r="N39" s="142">
        <f t="shared" si="12"/>
        <v>-4.547473508864641E-13</v>
      </c>
      <c r="O39" s="142">
        <f t="shared" si="12"/>
        <v>-4.547473508864641E-13</v>
      </c>
      <c r="P39" s="142">
        <f t="shared" si="12"/>
        <v>-4.547473508864641E-13</v>
      </c>
      <c r="Q39" s="142">
        <f t="shared" si="12"/>
        <v>-4.547473508864641E-13</v>
      </c>
      <c r="R39" s="142">
        <f t="shared" si="12"/>
        <v>-4.547473508864641E-13</v>
      </c>
      <c r="S39" s="142">
        <f t="shared" si="12"/>
        <v>-4.547473508864641E-13</v>
      </c>
      <c r="T39" s="142">
        <f t="shared" si="12"/>
        <v>-4.547473508864641E-13</v>
      </c>
      <c r="U39" s="142">
        <f t="shared" si="12"/>
        <v>-4.547473508864641E-13</v>
      </c>
      <c r="V39" s="142">
        <f t="shared" si="12"/>
        <v>-4.547473508864641E-13</v>
      </c>
      <c r="W39" s="142">
        <f t="shared" si="12"/>
        <v>-4.547473508864641E-13</v>
      </c>
      <c r="X39" s="142">
        <f t="shared" si="12"/>
        <v>-4.547473508864641E-13</v>
      </c>
      <c r="Y39" s="142">
        <f t="shared" si="12"/>
        <v>-4.547473508864641E-13</v>
      </c>
      <c r="Z39" s="142">
        <f t="shared" si="12"/>
        <v>-4.547473508864641E-13</v>
      </c>
      <c r="AA39" s="142">
        <f t="shared" si="12"/>
        <v>-4.547473508864641E-13</v>
      </c>
      <c r="AB39" s="142">
        <f t="shared" si="12"/>
        <v>-4.547473508864641E-13</v>
      </c>
      <c r="AC39" s="142">
        <f t="shared" si="12"/>
        <v>-4.547473508864641E-13</v>
      </c>
      <c r="AD39" s="142">
        <f t="shared" si="12"/>
        <v>-4.547473508864641E-13</v>
      </c>
      <c r="AE39" s="142">
        <f t="shared" si="12"/>
        <v>-4.547473508864641E-13</v>
      </c>
      <c r="AF39" s="216">
        <f t="shared" si="12"/>
        <v>-4.547473508864641E-13</v>
      </c>
      <c r="AG39" s="221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</row>
    <row r="40" spans="1:33" s="139" customFormat="1" ht="12.75" customHeight="1" thickBot="1">
      <c r="A40" s="228" t="s">
        <v>135</v>
      </c>
      <c r="B40" s="229">
        <v>2009</v>
      </c>
      <c r="C40" s="230">
        <v>29256</v>
      </c>
      <c r="D40" s="231"/>
      <c r="E40" s="136" t="s">
        <v>122</v>
      </c>
      <c r="F40" s="137">
        <f>7629.38*60/15.6466</f>
        <v>29256.375186941572</v>
      </c>
      <c r="G40" s="138">
        <f>7629.38/15.6466*12</f>
        <v>5851.275037388315</v>
      </c>
      <c r="H40" s="138">
        <f>G40</f>
        <v>5851.275037388315</v>
      </c>
      <c r="I40" s="138">
        <f>H40</f>
        <v>5851.275037388315</v>
      </c>
      <c r="J40" s="138">
        <f>I42</f>
        <v>5354.498101824039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215"/>
      <c r="AG40" s="221"/>
    </row>
    <row r="41" spans="1:33" s="139" customFormat="1" ht="13.5" thickBot="1">
      <c r="A41" s="228"/>
      <c r="B41" s="229"/>
      <c r="C41" s="230"/>
      <c r="D41" s="231"/>
      <c r="E41" s="136" t="s">
        <v>123</v>
      </c>
      <c r="F41" s="137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215"/>
      <c r="AG41" s="221"/>
    </row>
    <row r="42" spans="1:48" s="143" customFormat="1" ht="13.5" thickBot="1">
      <c r="A42" s="228"/>
      <c r="B42" s="229"/>
      <c r="C42" s="230"/>
      <c r="D42" s="231"/>
      <c r="E42" s="140" t="s">
        <v>124</v>
      </c>
      <c r="F42" s="141">
        <f>358437.37/15.6466</f>
        <v>22908.32321398898</v>
      </c>
      <c r="G42" s="142">
        <f>IF(G$6=$B40,$C40-G40,IF(G$6&gt;$B40,F42-G40,0))</f>
        <v>17057.048176600667</v>
      </c>
      <c r="H42" s="142">
        <f aca="true" t="shared" si="13" ref="H42:AF42">IF(H$6=$B40,$C40-H40,IF(H$6&gt;$B40,G42-H40,0))</f>
        <v>11205.773139212353</v>
      </c>
      <c r="I42" s="142">
        <f t="shared" si="13"/>
        <v>5354.498101824039</v>
      </c>
      <c r="J42" s="142">
        <f t="shared" si="13"/>
        <v>0</v>
      </c>
      <c r="K42" s="142">
        <f t="shared" si="13"/>
        <v>0</v>
      </c>
      <c r="L42" s="142">
        <f t="shared" si="13"/>
        <v>0</v>
      </c>
      <c r="M42" s="142">
        <f t="shared" si="13"/>
        <v>0</v>
      </c>
      <c r="N42" s="142">
        <f t="shared" si="13"/>
        <v>0</v>
      </c>
      <c r="O42" s="142">
        <f t="shared" si="13"/>
        <v>0</v>
      </c>
      <c r="P42" s="142">
        <f t="shared" si="13"/>
        <v>0</v>
      </c>
      <c r="Q42" s="142">
        <f t="shared" si="13"/>
        <v>0</v>
      </c>
      <c r="R42" s="142">
        <f t="shared" si="13"/>
        <v>0</v>
      </c>
      <c r="S42" s="142">
        <f t="shared" si="13"/>
        <v>0</v>
      </c>
      <c r="T42" s="142">
        <f t="shared" si="13"/>
        <v>0</v>
      </c>
      <c r="U42" s="142">
        <f t="shared" si="13"/>
        <v>0</v>
      </c>
      <c r="V42" s="142">
        <f t="shared" si="13"/>
        <v>0</v>
      </c>
      <c r="W42" s="142">
        <f t="shared" si="13"/>
        <v>0</v>
      </c>
      <c r="X42" s="142">
        <f t="shared" si="13"/>
        <v>0</v>
      </c>
      <c r="Y42" s="142">
        <f t="shared" si="13"/>
        <v>0</v>
      </c>
      <c r="Z42" s="142">
        <f t="shared" si="13"/>
        <v>0</v>
      </c>
      <c r="AA42" s="142">
        <f t="shared" si="13"/>
        <v>0</v>
      </c>
      <c r="AB42" s="142">
        <f t="shared" si="13"/>
        <v>0</v>
      </c>
      <c r="AC42" s="142">
        <f t="shared" si="13"/>
        <v>0</v>
      </c>
      <c r="AD42" s="142">
        <f t="shared" si="13"/>
        <v>0</v>
      </c>
      <c r="AE42" s="142">
        <f t="shared" si="13"/>
        <v>0</v>
      </c>
      <c r="AF42" s="216">
        <f t="shared" si="13"/>
        <v>0</v>
      </c>
      <c r="AG42" s="221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</row>
    <row r="43" spans="1:33" s="139" customFormat="1" ht="12.75" customHeight="1" thickBot="1">
      <c r="A43" s="228" t="s">
        <v>144</v>
      </c>
      <c r="B43" s="229">
        <v>2013</v>
      </c>
      <c r="C43" s="230">
        <v>16242401</v>
      </c>
      <c r="D43" s="231"/>
      <c r="E43" s="136" t="s">
        <v>122</v>
      </c>
      <c r="F43" s="137"/>
      <c r="G43" s="138"/>
      <c r="H43" s="138"/>
      <c r="I43" s="138"/>
      <c r="J43" s="138"/>
      <c r="K43" s="138">
        <f aca="true" t="shared" si="14" ref="K43:T43">$J$45*0.1</f>
        <v>1624240.1</v>
      </c>
      <c r="L43" s="138">
        <f t="shared" si="14"/>
        <v>1624240.1</v>
      </c>
      <c r="M43" s="138">
        <f t="shared" si="14"/>
        <v>1624240.1</v>
      </c>
      <c r="N43" s="138">
        <f t="shared" si="14"/>
        <v>1624240.1</v>
      </c>
      <c r="O43" s="138">
        <f t="shared" si="14"/>
        <v>1624240.1</v>
      </c>
      <c r="P43" s="138">
        <f t="shared" si="14"/>
        <v>1624240.1</v>
      </c>
      <c r="Q43" s="138">
        <f t="shared" si="14"/>
        <v>1624240.1</v>
      </c>
      <c r="R43" s="138">
        <f t="shared" si="14"/>
        <v>1624240.1</v>
      </c>
      <c r="S43" s="138">
        <f t="shared" si="14"/>
        <v>1624240.1</v>
      </c>
      <c r="T43" s="138">
        <f t="shared" si="14"/>
        <v>1624240.1</v>
      </c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215"/>
      <c r="AG43" s="221"/>
    </row>
    <row r="44" spans="1:33" s="139" customFormat="1" ht="13.5" thickBot="1">
      <c r="A44" s="228"/>
      <c r="B44" s="229"/>
      <c r="C44" s="230"/>
      <c r="D44" s="231"/>
      <c r="E44" s="136" t="s">
        <v>123</v>
      </c>
      <c r="F44" s="137"/>
      <c r="G44" s="138"/>
      <c r="H44" s="138"/>
      <c r="I44" s="138"/>
      <c r="J44" s="138"/>
      <c r="K44" s="138">
        <f>0.035*J45</f>
        <v>568484.035</v>
      </c>
      <c r="L44" s="138">
        <f>0.035*K45</f>
        <v>511635.6315000001</v>
      </c>
      <c r="M44" s="138">
        <f>0.045*L45</f>
        <v>584726.436</v>
      </c>
      <c r="N44" s="138">
        <f>0.045*M45</f>
        <v>511635.6315</v>
      </c>
      <c r="O44" s="138">
        <f>0.045*N45</f>
        <v>438544.82700000005</v>
      </c>
      <c r="P44" s="138">
        <f>0.05*O45</f>
        <v>406060.02500000014</v>
      </c>
      <c r="Q44" s="138">
        <f>0.05*P45</f>
        <v>324848.02000000014</v>
      </c>
      <c r="R44" s="138">
        <f>0.05*Q45</f>
        <v>243636.01500000013</v>
      </c>
      <c r="S44" s="138">
        <f>0.05*R45</f>
        <v>162424.01000000013</v>
      </c>
      <c r="T44" s="138">
        <f>0.05*S45</f>
        <v>81212.00500000012</v>
      </c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215"/>
      <c r="AG44" s="221"/>
    </row>
    <row r="45" spans="1:48" s="143" customFormat="1" ht="13.5" thickBot="1">
      <c r="A45" s="228"/>
      <c r="B45" s="229"/>
      <c r="C45" s="230"/>
      <c r="D45" s="231"/>
      <c r="E45" s="140" t="s">
        <v>124</v>
      </c>
      <c r="F45" s="141"/>
      <c r="G45" s="142">
        <f>IF(G$6=$B43,$C43-G43,IF(G$6&gt;$B43,F45-G43,0))</f>
        <v>0</v>
      </c>
      <c r="H45" s="142">
        <f aca="true" t="shared" si="15" ref="H45:AF45">IF(H$6=$B43,$C43-H43,IF(H$6&gt;$B43,G45-H43,0))</f>
        <v>0</v>
      </c>
      <c r="I45" s="142">
        <f t="shared" si="15"/>
        <v>0</v>
      </c>
      <c r="J45" s="142">
        <f t="shared" si="15"/>
        <v>16242401</v>
      </c>
      <c r="K45" s="142">
        <f t="shared" si="15"/>
        <v>14618160.9</v>
      </c>
      <c r="L45" s="142">
        <f t="shared" si="15"/>
        <v>12993920.8</v>
      </c>
      <c r="M45" s="142">
        <f t="shared" si="15"/>
        <v>11369680.700000001</v>
      </c>
      <c r="N45" s="142">
        <f t="shared" si="15"/>
        <v>9745440.600000001</v>
      </c>
      <c r="O45" s="142">
        <f t="shared" si="15"/>
        <v>8121200.500000002</v>
      </c>
      <c r="P45" s="142">
        <f t="shared" si="15"/>
        <v>6496960.400000002</v>
      </c>
      <c r="Q45" s="142">
        <f t="shared" si="15"/>
        <v>4872720.300000003</v>
      </c>
      <c r="R45" s="142">
        <f t="shared" si="15"/>
        <v>3248480.2000000025</v>
      </c>
      <c r="S45" s="142">
        <f t="shared" si="15"/>
        <v>1624240.1000000024</v>
      </c>
      <c r="T45" s="142">
        <f t="shared" si="15"/>
        <v>2.3283064365386963E-09</v>
      </c>
      <c r="U45" s="142">
        <f t="shared" si="15"/>
        <v>2.3283064365386963E-09</v>
      </c>
      <c r="V45" s="142">
        <f t="shared" si="15"/>
        <v>2.3283064365386963E-09</v>
      </c>
      <c r="W45" s="142">
        <f t="shared" si="15"/>
        <v>2.3283064365386963E-09</v>
      </c>
      <c r="X45" s="142">
        <f t="shared" si="15"/>
        <v>2.3283064365386963E-09</v>
      </c>
      <c r="Y45" s="142">
        <f t="shared" si="15"/>
        <v>2.3283064365386963E-09</v>
      </c>
      <c r="Z45" s="142">
        <f t="shared" si="15"/>
        <v>2.3283064365386963E-09</v>
      </c>
      <c r="AA45" s="142">
        <f t="shared" si="15"/>
        <v>2.3283064365386963E-09</v>
      </c>
      <c r="AB45" s="142">
        <f t="shared" si="15"/>
        <v>2.3283064365386963E-09</v>
      </c>
      <c r="AC45" s="142">
        <f t="shared" si="15"/>
        <v>2.3283064365386963E-09</v>
      </c>
      <c r="AD45" s="142">
        <f t="shared" si="15"/>
        <v>2.3283064365386963E-09</v>
      </c>
      <c r="AE45" s="142">
        <f t="shared" si="15"/>
        <v>2.3283064365386963E-09</v>
      </c>
      <c r="AF45" s="216">
        <f t="shared" si="15"/>
        <v>2.3283064365386963E-09</v>
      </c>
      <c r="AG45" s="221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</row>
    <row r="46" spans="1:33" s="139" customFormat="1" ht="12.75" customHeight="1" thickBot="1">
      <c r="A46" s="228" t="s">
        <v>144</v>
      </c>
      <c r="B46" s="229">
        <v>2014</v>
      </c>
      <c r="C46" s="230">
        <v>7516196</v>
      </c>
      <c r="D46" s="231"/>
      <c r="E46" s="136" t="s">
        <v>122</v>
      </c>
      <c r="F46" s="137"/>
      <c r="G46" s="138"/>
      <c r="H46" s="138"/>
      <c r="I46" s="138"/>
      <c r="J46" s="138"/>
      <c r="K46" s="138"/>
      <c r="L46" s="138">
        <f aca="true" t="shared" si="16" ref="L46:U46">$K$48*0.1</f>
        <v>751619.6000000001</v>
      </c>
      <c r="M46" s="138">
        <f t="shared" si="16"/>
        <v>751619.6000000001</v>
      </c>
      <c r="N46" s="138">
        <f t="shared" si="16"/>
        <v>751619.6000000001</v>
      </c>
      <c r="O46" s="138">
        <f t="shared" si="16"/>
        <v>751619.6000000001</v>
      </c>
      <c r="P46" s="138">
        <f t="shared" si="16"/>
        <v>751619.6000000001</v>
      </c>
      <c r="Q46" s="138">
        <f t="shared" si="16"/>
        <v>751619.6000000001</v>
      </c>
      <c r="R46" s="138">
        <f t="shared" si="16"/>
        <v>751619.6000000001</v>
      </c>
      <c r="S46" s="138">
        <f t="shared" si="16"/>
        <v>751619.6000000001</v>
      </c>
      <c r="T46" s="138">
        <f t="shared" si="16"/>
        <v>751619.6000000001</v>
      </c>
      <c r="U46" s="138">
        <f t="shared" si="16"/>
        <v>751619.6000000001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215"/>
      <c r="AG46" s="221"/>
    </row>
    <row r="47" spans="1:33" s="139" customFormat="1" ht="13.5" thickBot="1">
      <c r="A47" s="228"/>
      <c r="B47" s="229"/>
      <c r="C47" s="230"/>
      <c r="D47" s="231"/>
      <c r="E47" s="136" t="s">
        <v>123</v>
      </c>
      <c r="F47" s="137"/>
      <c r="G47" s="138"/>
      <c r="H47" s="138"/>
      <c r="I47" s="138"/>
      <c r="J47" s="138"/>
      <c r="K47" s="138"/>
      <c r="L47" s="138">
        <f>0.035*K48</f>
        <v>263066.86000000004</v>
      </c>
      <c r="M47" s="138">
        <f>0.035*L48</f>
        <v>236760.17400000003</v>
      </c>
      <c r="N47" s="138">
        <f>0.045*M48</f>
        <v>270583.05600000004</v>
      </c>
      <c r="O47" s="138">
        <f>0.045*N48</f>
        <v>236760.17400000003</v>
      </c>
      <c r="P47" s="138">
        <f>0.045*O48</f>
        <v>202937.29200000007</v>
      </c>
      <c r="Q47" s="138">
        <f>0.05*P48</f>
        <v>187904.90000000008</v>
      </c>
      <c r="R47" s="138">
        <f>0.05*Q48</f>
        <v>150323.92000000007</v>
      </c>
      <c r="S47" s="138">
        <f>0.05*R48</f>
        <v>112742.94000000006</v>
      </c>
      <c r="T47" s="138">
        <f>0.05*S48</f>
        <v>75161.96000000006</v>
      </c>
      <c r="U47" s="138">
        <f>0.05*T48</f>
        <v>37580.980000000054</v>
      </c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215"/>
      <c r="AG47" s="221"/>
    </row>
    <row r="48" spans="1:48" s="143" customFormat="1" ht="13.5" thickBot="1">
      <c r="A48" s="228"/>
      <c r="B48" s="229"/>
      <c r="C48" s="230"/>
      <c r="D48" s="231"/>
      <c r="E48" s="140" t="s">
        <v>124</v>
      </c>
      <c r="F48" s="141"/>
      <c r="G48" s="142">
        <f>IF(G$6=$B46,$C46-G46,IF(G$6&gt;$B46,F48-G46,0))</f>
        <v>0</v>
      </c>
      <c r="H48" s="142">
        <f>IF(H$6=$B46,$C46-H46,IF(H$6&gt;$B46,G48-H46,0))</f>
        <v>0</v>
      </c>
      <c r="I48" s="142">
        <f>IF(I$6=$B46,$C46-I46,IF(I$6&gt;$B46,H48-I46,0))</f>
        <v>0</v>
      </c>
      <c r="J48" s="142">
        <f>IF(J$6=$B46,$C46-J46,IF(J$6&gt;$B46,I48-J46,0))</f>
        <v>0</v>
      </c>
      <c r="K48" s="142">
        <f>IF(K$6=$B46,$C46-K46,IF(K$6&gt;$B46,J48-K46,0))</f>
        <v>7516196</v>
      </c>
      <c r="L48" s="142">
        <f>IF(L$6=$B46,$C46-L46,IF(L$6&gt;$B46,K48-L46,0))</f>
        <v>6764576.4</v>
      </c>
      <c r="M48" s="142">
        <f>IF(M$6=$B46,$C46-M46,IF(M$6&gt;$B46,L48-M46,0))</f>
        <v>6012956.800000001</v>
      </c>
      <c r="N48" s="142">
        <f>IF(N$6=$B46,$C46-N46,IF(N$6&gt;$B46,M48-N46,0))</f>
        <v>5261337.200000001</v>
      </c>
      <c r="O48" s="142">
        <f>IF(O$6=$B46,$C46-O46,IF(O$6&gt;$B46,N48-O46,0))</f>
        <v>4509717.6000000015</v>
      </c>
      <c r="P48" s="142">
        <f>IF(P$6=$B46,$C46-P46,IF(P$6&gt;$B46,O48-P46,0))</f>
        <v>3758098.0000000014</v>
      </c>
      <c r="Q48" s="142">
        <f>IF(Q$6=$B46,$C46-Q46,IF(Q$6&gt;$B46,P48-Q46,0))</f>
        <v>3006478.4000000013</v>
      </c>
      <c r="R48" s="142">
        <f>IF(R$6=$B46,$C46-R46,IF(R$6&gt;$B46,Q48-R46,0))</f>
        <v>2254858.800000001</v>
      </c>
      <c r="S48" s="142">
        <f>IF(S$6=$B46,$C46-S46,IF(S$6&gt;$B46,R48-S46,0))</f>
        <v>1503239.2000000011</v>
      </c>
      <c r="T48" s="142">
        <f>IF(T$6=$B46,$C46-T46,IF(T$6&gt;$B46,S48-T46,0))</f>
        <v>751619.600000001</v>
      </c>
      <c r="U48" s="142">
        <f>IF(U$6=$B46,$C46-U46,IF(U$6&gt;$B46,T48-U46,0))</f>
        <v>9.313225746154785E-10</v>
      </c>
      <c r="V48" s="142">
        <f>IF(V$6=$B46,$C46-V46,IF(V$6&gt;$B46,U48-V46,0))</f>
        <v>9.313225746154785E-10</v>
      </c>
      <c r="W48" s="142">
        <f>IF(W$6=$B46,$C46-W46,IF(W$6&gt;$B46,V48-W46,0))</f>
        <v>9.313225746154785E-10</v>
      </c>
      <c r="X48" s="142">
        <f>IF(X$6=$B46,$C46-X46,IF(X$6&gt;$B46,W48-X46,0))</f>
        <v>9.313225746154785E-10</v>
      </c>
      <c r="Y48" s="142">
        <f>IF(Y$6=$B46,$C46-Y46,IF(Y$6&gt;$B46,X48-Y46,0))</f>
        <v>9.313225746154785E-10</v>
      </c>
      <c r="Z48" s="142">
        <f>IF(Z$6=$B46,$C46-Z46,IF(Z$6&gt;$B46,Y48-Z46,0))</f>
        <v>9.313225746154785E-10</v>
      </c>
      <c r="AA48" s="142">
        <f>IF(AA$6=$B46,$C46-AA46,IF(AA$6&gt;$B46,Z48-AA46,0))</f>
        <v>9.313225746154785E-10</v>
      </c>
      <c r="AB48" s="142">
        <f>IF(AB$6=$B46,$C46-AB46,IF(AB$6&gt;$B46,AA48-AB46,0))</f>
        <v>9.313225746154785E-10</v>
      </c>
      <c r="AC48" s="142">
        <f>IF(AC$6=$B46,$C46-AC46,IF(AC$6&gt;$B46,AB48-AC46,0))</f>
        <v>9.313225746154785E-10</v>
      </c>
      <c r="AD48" s="142">
        <f>IF(AD$6=$B46,$C46-AD46,IF(AD$6&gt;$B46,AC48-AD46,0))</f>
        <v>9.313225746154785E-10</v>
      </c>
      <c r="AE48" s="142">
        <f>IF(AE$6=$B46,$C46-AE46,IF(AE$6&gt;$B46,AD48-AE46,0))</f>
        <v>9.313225746154785E-10</v>
      </c>
      <c r="AF48" s="216">
        <f>IF(AF$6=$B46,$C46-AF46,IF(AF$6&gt;$B46,AE48-AF46,0))</f>
        <v>9.313225746154785E-10</v>
      </c>
      <c r="AG48" s="221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</row>
    <row r="49" spans="1:33" s="139" customFormat="1" ht="12.75" customHeight="1" thickBot="1">
      <c r="A49" s="228" t="s">
        <v>144</v>
      </c>
      <c r="B49" s="229">
        <v>2015</v>
      </c>
      <c r="C49" s="230">
        <v>6231128</v>
      </c>
      <c r="D49" s="231"/>
      <c r="E49" s="136" t="s">
        <v>122</v>
      </c>
      <c r="F49" s="137"/>
      <c r="G49" s="138"/>
      <c r="H49" s="138"/>
      <c r="I49" s="138"/>
      <c r="J49" s="138"/>
      <c r="K49" s="138"/>
      <c r="L49" s="138"/>
      <c r="M49" s="138">
        <f>$L$51*0.1</f>
        <v>623112.8</v>
      </c>
      <c r="N49" s="138">
        <f aca="true" t="shared" si="17" ref="N49:V49">$L$51*0.1</f>
        <v>623112.8</v>
      </c>
      <c r="O49" s="138">
        <f t="shared" si="17"/>
        <v>623112.8</v>
      </c>
      <c r="P49" s="138">
        <f t="shared" si="17"/>
        <v>623112.8</v>
      </c>
      <c r="Q49" s="138">
        <f t="shared" si="17"/>
        <v>623112.8</v>
      </c>
      <c r="R49" s="138">
        <f t="shared" si="17"/>
        <v>623112.8</v>
      </c>
      <c r="S49" s="138">
        <f t="shared" si="17"/>
        <v>623112.8</v>
      </c>
      <c r="T49" s="138">
        <f t="shared" si="17"/>
        <v>623112.8</v>
      </c>
      <c r="U49" s="138">
        <f t="shared" si="17"/>
        <v>623112.8</v>
      </c>
      <c r="V49" s="138">
        <f t="shared" si="17"/>
        <v>623112.8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215"/>
      <c r="AG49" s="221"/>
    </row>
    <row r="50" spans="1:33" s="139" customFormat="1" ht="13.5" thickBot="1">
      <c r="A50" s="228"/>
      <c r="B50" s="229"/>
      <c r="C50" s="230"/>
      <c r="D50" s="231"/>
      <c r="E50" s="136" t="s">
        <v>123</v>
      </c>
      <c r="F50" s="137"/>
      <c r="G50" s="138"/>
      <c r="H50" s="138"/>
      <c r="I50" s="138"/>
      <c r="J50" s="138"/>
      <c r="K50" s="138"/>
      <c r="L50" s="138"/>
      <c r="M50" s="138">
        <f>0.035*L51</f>
        <v>218089.48</v>
      </c>
      <c r="N50" s="138">
        <f>0.035*M51</f>
        <v>196280.53200000004</v>
      </c>
      <c r="O50" s="138">
        <f>0.045*N51</f>
        <v>224320.608</v>
      </c>
      <c r="P50" s="138">
        <f>0.045*O51</f>
        <v>196280.532</v>
      </c>
      <c r="Q50" s="138">
        <f>0.045*P51</f>
        <v>168240.45600000003</v>
      </c>
      <c r="R50" s="138">
        <f>0.05*Q51</f>
        <v>155778.20000000004</v>
      </c>
      <c r="S50" s="138">
        <f>0.05*R51</f>
        <v>124622.56000000006</v>
      </c>
      <c r="T50" s="138">
        <f>0.05*S51</f>
        <v>93466.92000000006</v>
      </c>
      <c r="U50" s="138">
        <f>0.05*T51</f>
        <v>62311.28000000006</v>
      </c>
      <c r="V50" s="138">
        <f>0.05*U51</f>
        <v>31155.64000000005</v>
      </c>
      <c r="W50" s="138"/>
      <c r="X50" s="138"/>
      <c r="Y50" s="138"/>
      <c r="Z50" s="138"/>
      <c r="AA50" s="138"/>
      <c r="AB50" s="138"/>
      <c r="AC50" s="138"/>
      <c r="AD50" s="138"/>
      <c r="AE50" s="138"/>
      <c r="AF50" s="215"/>
      <c r="AG50" s="221"/>
    </row>
    <row r="51" spans="1:48" s="143" customFormat="1" ht="13.5" thickBot="1">
      <c r="A51" s="228"/>
      <c r="B51" s="229"/>
      <c r="C51" s="230"/>
      <c r="D51" s="231"/>
      <c r="E51" s="140" t="s">
        <v>124</v>
      </c>
      <c r="F51" s="141"/>
      <c r="G51" s="142">
        <f>IF(G$6=$B49,$C49-G49,IF(G$6&gt;$B49,F51-G49,0))</f>
        <v>0</v>
      </c>
      <c r="H51" s="142">
        <f>IF(H$6=$B49,$C49-H49,IF(H$6&gt;$B49,G51-H49,0))</f>
        <v>0</v>
      </c>
      <c r="I51" s="142">
        <f>IF(I$6=$B49,$C49-I49,IF(I$6&gt;$B49,H51-I49,0))</f>
        <v>0</v>
      </c>
      <c r="J51" s="142">
        <f>IF(J$6=$B49,$C49-J49,IF(J$6&gt;$B49,I51-J49,0))</f>
        <v>0</v>
      </c>
      <c r="K51" s="142">
        <f>IF(K$6=$B49,$C49-K49,IF(K$6&gt;$B49,J51-K49,0))</f>
        <v>0</v>
      </c>
      <c r="L51" s="142">
        <f>IF(L$6=$B49,$C49-L49,IF(L$6&gt;$B49,K51-L49,0))</f>
        <v>6231128</v>
      </c>
      <c r="M51" s="142">
        <f>IF(M$6=$B49,$C49-M49,IF(M$6&gt;$B49,L51-M49,0))</f>
        <v>5608015.2</v>
      </c>
      <c r="N51" s="142">
        <f>IF(N$6=$B49,$C49-N49,IF(N$6&gt;$B49,M51-N49,0))</f>
        <v>4984902.4</v>
      </c>
      <c r="O51" s="142">
        <f>IF(O$6=$B49,$C49-O49,IF(O$6&gt;$B49,N51-O49,0))</f>
        <v>4361789.600000001</v>
      </c>
      <c r="P51" s="142">
        <f>IF(P$6=$B49,$C49-P49,IF(P$6&gt;$B49,O51-P49,0))</f>
        <v>3738676.8000000007</v>
      </c>
      <c r="Q51" s="142">
        <f>IF(Q$6=$B49,$C49-Q49,IF(Q$6&gt;$B49,P51-Q49,0))</f>
        <v>3115564.000000001</v>
      </c>
      <c r="R51" s="142">
        <f>IF(R$6=$B49,$C49-R49,IF(R$6&gt;$B49,Q51-R49,0))</f>
        <v>2492451.200000001</v>
      </c>
      <c r="S51" s="142">
        <f>IF(S$6=$B49,$C49-S49,IF(S$6&gt;$B49,R51-S49,0))</f>
        <v>1869338.400000001</v>
      </c>
      <c r="T51" s="142">
        <f>IF(T$6=$B49,$C49-T49,IF(T$6&gt;$B49,S51-T49,0))</f>
        <v>1246225.600000001</v>
      </c>
      <c r="U51" s="142">
        <f>IF(U$6=$B49,$C49-U49,IF(U$6&gt;$B49,T51-U49,0))</f>
        <v>623112.800000001</v>
      </c>
      <c r="V51" s="142">
        <f>IF(V$6=$B49,$C49-V49,IF(V$6&gt;$B49,U51-V49,0))</f>
        <v>9.313225746154785E-10</v>
      </c>
      <c r="W51" s="142">
        <f>IF(W$6=$B49,$C49-W49,IF(W$6&gt;$B49,V51-W49,0))</f>
        <v>9.313225746154785E-10</v>
      </c>
      <c r="X51" s="142">
        <f>IF(X$6=$B49,$C49-X49,IF(X$6&gt;$B49,W51-X49,0))</f>
        <v>9.313225746154785E-10</v>
      </c>
      <c r="Y51" s="142">
        <f>IF(Y$6=$B49,$C49-Y49,IF(Y$6&gt;$B49,X51-Y49,0))</f>
        <v>9.313225746154785E-10</v>
      </c>
      <c r="Z51" s="142">
        <f>IF(Z$6=$B49,$C49-Z49,IF(Z$6&gt;$B49,Y51-Z49,0))</f>
        <v>9.313225746154785E-10</v>
      </c>
      <c r="AA51" s="142">
        <f>IF(AA$6=$B49,$C49-AA49,IF(AA$6&gt;$B49,Z51-AA49,0))</f>
        <v>9.313225746154785E-10</v>
      </c>
      <c r="AB51" s="142">
        <f>IF(AB$6=$B49,$C49-AB49,IF(AB$6&gt;$B49,AA51-AB49,0))</f>
        <v>9.313225746154785E-10</v>
      </c>
      <c r="AC51" s="142">
        <f>IF(AC$6=$B49,$C49-AC49,IF(AC$6&gt;$B49,AB51-AC49,0))</f>
        <v>9.313225746154785E-10</v>
      </c>
      <c r="AD51" s="142">
        <f>IF(AD$6=$B49,$C49-AD49,IF(AD$6&gt;$B49,AC51-AD49,0))</f>
        <v>9.313225746154785E-10</v>
      </c>
      <c r="AE51" s="142">
        <f>IF(AE$6=$B49,$C49-AE49,IF(AE$6&gt;$B49,AD51-AE49,0))</f>
        <v>9.313225746154785E-10</v>
      </c>
      <c r="AF51" s="216">
        <f>IF(AF$6=$B49,$C49-AF49,IF(AF$6&gt;$B49,AE51-AF49,0))</f>
        <v>9.313225746154785E-10</v>
      </c>
      <c r="AG51" s="221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</row>
    <row r="52" spans="1:33" s="139" customFormat="1" ht="12.75" customHeight="1" thickBot="1">
      <c r="A52" s="228" t="s">
        <v>144</v>
      </c>
      <c r="B52" s="229">
        <v>2016</v>
      </c>
      <c r="C52" s="230">
        <v>6140078</v>
      </c>
      <c r="D52" s="231"/>
      <c r="E52" s="136" t="s">
        <v>122</v>
      </c>
      <c r="F52" s="137"/>
      <c r="G52" s="138"/>
      <c r="H52" s="138"/>
      <c r="I52" s="138"/>
      <c r="J52" s="138"/>
      <c r="K52" s="138"/>
      <c r="L52" s="138"/>
      <c r="M52" s="138"/>
      <c r="N52" s="138">
        <f>$M$54*0.1</f>
        <v>614007.8</v>
      </c>
      <c r="O52" s="138">
        <f aca="true" t="shared" si="18" ref="O52:W52">$M$54*0.1</f>
        <v>614007.8</v>
      </c>
      <c r="P52" s="138">
        <f t="shared" si="18"/>
        <v>614007.8</v>
      </c>
      <c r="Q52" s="138">
        <f t="shared" si="18"/>
        <v>614007.8</v>
      </c>
      <c r="R52" s="138">
        <f t="shared" si="18"/>
        <v>614007.8</v>
      </c>
      <c r="S52" s="138">
        <f t="shared" si="18"/>
        <v>614007.8</v>
      </c>
      <c r="T52" s="138">
        <f t="shared" si="18"/>
        <v>614007.8</v>
      </c>
      <c r="U52" s="138">
        <f t="shared" si="18"/>
        <v>614007.8</v>
      </c>
      <c r="V52" s="138">
        <f t="shared" si="18"/>
        <v>614007.8</v>
      </c>
      <c r="W52" s="138">
        <f t="shared" si="18"/>
        <v>614007.8</v>
      </c>
      <c r="X52" s="138"/>
      <c r="Y52" s="138"/>
      <c r="Z52" s="138"/>
      <c r="AA52" s="138"/>
      <c r="AB52" s="138"/>
      <c r="AC52" s="138"/>
      <c r="AD52" s="138"/>
      <c r="AE52" s="138"/>
      <c r="AF52" s="215"/>
      <c r="AG52" s="221"/>
    </row>
    <row r="53" spans="1:33" s="139" customFormat="1" ht="13.5" thickBot="1">
      <c r="A53" s="228"/>
      <c r="B53" s="229"/>
      <c r="C53" s="230"/>
      <c r="D53" s="231"/>
      <c r="E53" s="136" t="s">
        <v>123</v>
      </c>
      <c r="F53" s="137"/>
      <c r="G53" s="138"/>
      <c r="H53" s="138"/>
      <c r="I53" s="138"/>
      <c r="J53" s="138"/>
      <c r="K53" s="138"/>
      <c r="L53" s="138"/>
      <c r="M53" s="138"/>
      <c r="N53" s="138">
        <f>0.035*M54</f>
        <v>214902.73</v>
      </c>
      <c r="O53" s="138">
        <f>0.035*N54</f>
        <v>193412.45700000002</v>
      </c>
      <c r="P53" s="138">
        <f>0.045*O54</f>
        <v>221042.80800000002</v>
      </c>
      <c r="Q53" s="138">
        <f>0.045*P54</f>
        <v>193412.45700000002</v>
      </c>
      <c r="R53" s="138">
        <f>0.045*Q54</f>
        <v>165782.10600000003</v>
      </c>
      <c r="S53" s="138">
        <f>0.05*R54</f>
        <v>153501.95000000004</v>
      </c>
      <c r="T53" s="138">
        <f>0.05*S54</f>
        <v>122801.56000000006</v>
      </c>
      <c r="U53" s="138">
        <f>0.05*T54</f>
        <v>92101.17000000006</v>
      </c>
      <c r="V53" s="138">
        <f>0.05*U54</f>
        <v>61400.78000000006</v>
      </c>
      <c r="W53" s="138">
        <f>0.05*V54</f>
        <v>30700.39000000005</v>
      </c>
      <c r="X53" s="138"/>
      <c r="Y53" s="138"/>
      <c r="Z53" s="138"/>
      <c r="AA53" s="138"/>
      <c r="AB53" s="138"/>
      <c r="AC53" s="138"/>
      <c r="AD53" s="138"/>
      <c r="AE53" s="138"/>
      <c r="AF53" s="215"/>
      <c r="AG53" s="221"/>
    </row>
    <row r="54" spans="1:48" s="143" customFormat="1" ht="13.5" thickBot="1">
      <c r="A54" s="228"/>
      <c r="B54" s="229"/>
      <c r="C54" s="230"/>
      <c r="D54" s="231"/>
      <c r="E54" s="140" t="s">
        <v>124</v>
      </c>
      <c r="F54" s="141"/>
      <c r="G54" s="142">
        <f>IF(G$6=$B52,$C52-G52,IF(G$6&gt;$B52,F54-G52,0))</f>
        <v>0</v>
      </c>
      <c r="H54" s="142">
        <f>IF(H$6=$B52,$C52-H52,IF(H$6&gt;$B52,G54-H52,0))</f>
        <v>0</v>
      </c>
      <c r="I54" s="142">
        <f>IF(I$6=$B52,$C52-I52,IF(I$6&gt;$B52,H54-I52,0))</f>
        <v>0</v>
      </c>
      <c r="J54" s="142">
        <f>IF(J$6=$B52,$C52-J52,IF(J$6&gt;$B52,I54-J52,0))</f>
        <v>0</v>
      </c>
      <c r="K54" s="142">
        <f>IF(K$6=$B52,$C52-K52,IF(K$6&gt;$B52,J54-K52,0))</f>
        <v>0</v>
      </c>
      <c r="L54" s="142">
        <f>IF(L$6=$B52,$C52-L52,IF(L$6&gt;$B52,K54-L52,0))</f>
        <v>0</v>
      </c>
      <c r="M54" s="142">
        <f>IF(M$6=$B52,$C52-M52,IF(M$6&gt;$B52,L54-M52,0))</f>
        <v>6140078</v>
      </c>
      <c r="N54" s="142">
        <f>IF(N$6=$B52,$C52-N52,IF(N$6&gt;$B52,M54-N52,0))</f>
        <v>5526070.2</v>
      </c>
      <c r="O54" s="142">
        <f>IF(O$6=$B52,$C52-O52,IF(O$6&gt;$B52,N54-O52,0))</f>
        <v>4912062.4</v>
      </c>
      <c r="P54" s="142">
        <f>IF(P$6=$B52,$C52-P52,IF(P$6&gt;$B52,O54-P52,0))</f>
        <v>4298054.600000001</v>
      </c>
      <c r="Q54" s="142">
        <f>IF(Q$6=$B52,$C52-Q52,IF(Q$6&gt;$B52,P54-Q52,0))</f>
        <v>3684046.8000000007</v>
      </c>
      <c r="R54" s="142">
        <f>IF(R$6=$B52,$C52-R52,IF(R$6&gt;$B52,Q54-R52,0))</f>
        <v>3070039.000000001</v>
      </c>
      <c r="S54" s="142">
        <f>IF(S$6=$B52,$C52-S52,IF(S$6&gt;$B52,R54-S52,0))</f>
        <v>2456031.200000001</v>
      </c>
      <c r="T54" s="142">
        <f>IF(T$6=$B52,$C52-T52,IF(T$6&gt;$B52,S54-T52,0))</f>
        <v>1842023.400000001</v>
      </c>
      <c r="U54" s="142">
        <f>IF(U$6=$B52,$C52-U52,IF(U$6&gt;$B52,T54-U52,0))</f>
        <v>1228015.600000001</v>
      </c>
      <c r="V54" s="142">
        <f>IF(V$6=$B52,$C52-V52,IF(V$6&gt;$B52,U54-V52,0))</f>
        <v>614007.800000001</v>
      </c>
      <c r="W54" s="142">
        <f>IF(W$6=$B52,$C52-W52,IF(W$6&gt;$B52,V54-W52,0))</f>
        <v>9.313225746154785E-10</v>
      </c>
      <c r="X54" s="142">
        <f>IF(X$6=$B52,$C52-X52,IF(X$6&gt;$B52,W54-X52,0))</f>
        <v>9.313225746154785E-10</v>
      </c>
      <c r="Y54" s="142">
        <f>IF(Y$6=$B52,$C52-Y52,IF(Y$6&gt;$B52,X54-Y52,0))</f>
        <v>9.313225746154785E-10</v>
      </c>
      <c r="Z54" s="142">
        <f>IF(Z$6=$B52,$C52-Z52,IF(Z$6&gt;$B52,Y54-Z52,0))</f>
        <v>9.313225746154785E-10</v>
      </c>
      <c r="AA54" s="142">
        <f>IF(AA$6=$B52,$C52-AA52,IF(AA$6&gt;$B52,Z54-AA52,0))</f>
        <v>9.313225746154785E-10</v>
      </c>
      <c r="AB54" s="142">
        <f>IF(AB$6=$B52,$C52-AB52,IF(AB$6&gt;$B52,AA54-AB52,0))</f>
        <v>9.313225746154785E-10</v>
      </c>
      <c r="AC54" s="142">
        <f>IF(AC$6=$B52,$C52-AC52,IF(AC$6&gt;$B52,AB54-AC52,0))</f>
        <v>9.313225746154785E-10</v>
      </c>
      <c r="AD54" s="142">
        <f>IF(AD$6=$B52,$C52-AD52,IF(AD$6&gt;$B52,AC54-AD52,0))</f>
        <v>9.313225746154785E-10</v>
      </c>
      <c r="AE54" s="142">
        <f>IF(AE$6=$B52,$C52-AE52,IF(AE$6&gt;$B52,AD54-AE52,0))</f>
        <v>9.313225746154785E-10</v>
      </c>
      <c r="AF54" s="216">
        <f>IF(AF$6=$B52,$C52-AF52,IF(AF$6&gt;$B52,AE54-AF52,0))</f>
        <v>9.313225746154785E-10</v>
      </c>
      <c r="AG54" s="221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</row>
    <row r="55" spans="1:33" s="139" customFormat="1" ht="12.75" customHeight="1" thickBot="1">
      <c r="A55" s="228" t="s">
        <v>144</v>
      </c>
      <c r="B55" s="229">
        <v>2017</v>
      </c>
      <c r="C55" s="230">
        <v>5926667</v>
      </c>
      <c r="D55" s="231"/>
      <c r="E55" s="136" t="s">
        <v>122</v>
      </c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f>$N$57*0.1</f>
        <v>592666.7000000001</v>
      </c>
      <c r="P55" s="138">
        <f aca="true" t="shared" si="19" ref="P55:X55">$N$57*0.1</f>
        <v>592666.7000000001</v>
      </c>
      <c r="Q55" s="138">
        <f t="shared" si="19"/>
        <v>592666.7000000001</v>
      </c>
      <c r="R55" s="138">
        <f t="shared" si="19"/>
        <v>592666.7000000001</v>
      </c>
      <c r="S55" s="138">
        <f t="shared" si="19"/>
        <v>592666.7000000001</v>
      </c>
      <c r="T55" s="138">
        <f t="shared" si="19"/>
        <v>592666.7000000001</v>
      </c>
      <c r="U55" s="138">
        <f t="shared" si="19"/>
        <v>592666.7000000001</v>
      </c>
      <c r="V55" s="138">
        <f t="shared" si="19"/>
        <v>592666.7000000001</v>
      </c>
      <c r="W55" s="138">
        <f t="shared" si="19"/>
        <v>592666.7000000001</v>
      </c>
      <c r="X55" s="138">
        <f t="shared" si="19"/>
        <v>592666.7000000001</v>
      </c>
      <c r="Y55" s="138"/>
      <c r="Z55" s="138"/>
      <c r="AA55" s="138"/>
      <c r="AB55" s="138"/>
      <c r="AC55" s="138"/>
      <c r="AD55" s="138"/>
      <c r="AE55" s="138"/>
      <c r="AF55" s="215"/>
      <c r="AG55" s="221"/>
    </row>
    <row r="56" spans="1:33" s="139" customFormat="1" ht="13.5" thickBot="1">
      <c r="A56" s="228"/>
      <c r="B56" s="229"/>
      <c r="C56" s="230"/>
      <c r="D56" s="231"/>
      <c r="E56" s="136" t="s">
        <v>123</v>
      </c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f>0.035*N57</f>
        <v>207433.34500000003</v>
      </c>
      <c r="P56" s="138">
        <f>0.035*O57</f>
        <v>186690.0105</v>
      </c>
      <c r="Q56" s="138">
        <f>0.045*P57</f>
        <v>213360.012</v>
      </c>
      <c r="R56" s="138">
        <f>0.045*Q57</f>
        <v>186690.01049999997</v>
      </c>
      <c r="S56" s="138">
        <f>0.045*R57</f>
        <v>160020.00899999996</v>
      </c>
      <c r="T56" s="138">
        <f>0.05*S57</f>
        <v>148166.67499999996</v>
      </c>
      <c r="U56" s="138">
        <f>0.05*T57</f>
        <v>118533.33999999995</v>
      </c>
      <c r="V56" s="138">
        <f>0.05*U57</f>
        <v>88900.00499999995</v>
      </c>
      <c r="W56" s="138">
        <f>0.05*V57</f>
        <v>59266.669999999925</v>
      </c>
      <c r="X56" s="138">
        <f>0.05*W57</f>
        <v>29633.334999999923</v>
      </c>
      <c r="Y56" s="138"/>
      <c r="Z56" s="138"/>
      <c r="AA56" s="138"/>
      <c r="AB56" s="138"/>
      <c r="AC56" s="138"/>
      <c r="AD56" s="138"/>
      <c r="AE56" s="138"/>
      <c r="AF56" s="215"/>
      <c r="AG56" s="221"/>
    </row>
    <row r="57" spans="1:48" s="143" customFormat="1" ht="13.5" thickBot="1">
      <c r="A57" s="228"/>
      <c r="B57" s="229"/>
      <c r="C57" s="230"/>
      <c r="D57" s="231"/>
      <c r="E57" s="140" t="s">
        <v>124</v>
      </c>
      <c r="F57" s="141"/>
      <c r="G57" s="142">
        <f>IF(G$6=$B55,$C55-G55,IF(G$6&gt;$B55,F57-G55,0))</f>
        <v>0</v>
      </c>
      <c r="H57" s="142">
        <f>IF(H$6=$B55,$C55-H55,IF(H$6&gt;$B55,G57-H55,0))</f>
        <v>0</v>
      </c>
      <c r="I57" s="142">
        <f>IF(I$6=$B55,$C55-I55,IF(I$6&gt;$B55,H57-I55,0))</f>
        <v>0</v>
      </c>
      <c r="J57" s="142">
        <f>IF(J$6=$B55,$C55-J55,IF(J$6&gt;$B55,I57-J55,0))</f>
        <v>0</v>
      </c>
      <c r="K57" s="142">
        <f>IF(K$6=$B55,$C55-K55,IF(K$6&gt;$B55,J57-K55,0))</f>
        <v>0</v>
      </c>
      <c r="L57" s="142">
        <f>IF(L$6=$B55,$C55-L55,IF(L$6&gt;$B55,K57-L55,0))</f>
        <v>0</v>
      </c>
      <c r="M57" s="142">
        <f>IF(M$6=$B55,$C55-M55,IF(M$6&gt;$B55,L57-M55,0))</f>
        <v>0</v>
      </c>
      <c r="N57" s="142">
        <f>IF(N$6=$B55,$C55-N55,IF(N$6&gt;$B55,M57-N55,0))</f>
        <v>5926667</v>
      </c>
      <c r="O57" s="142">
        <f>IF(O$6=$B55,$C55-O55,IF(O$6&gt;$B55,N57-O55,0))</f>
        <v>5334000.3</v>
      </c>
      <c r="P57" s="142">
        <f>IF(P$6=$B55,$C55-P55,IF(P$6&gt;$B55,O57-P55,0))</f>
        <v>4741333.6</v>
      </c>
      <c r="Q57" s="142">
        <f>IF(Q$6=$B55,$C55-Q55,IF(Q$6&gt;$B55,P57-Q55,0))</f>
        <v>4148666.8999999994</v>
      </c>
      <c r="R57" s="142">
        <f>IF(R$6=$B55,$C55-R55,IF(R$6&gt;$B55,Q57-R55,0))</f>
        <v>3556000.1999999993</v>
      </c>
      <c r="S57" s="142">
        <f>IF(S$6=$B55,$C55-S55,IF(S$6&gt;$B55,R57-S55,0))</f>
        <v>2963333.499999999</v>
      </c>
      <c r="T57" s="142">
        <f>IF(T$6=$B55,$C55-T55,IF(T$6&gt;$B55,S57-T55,0))</f>
        <v>2370666.799999999</v>
      </c>
      <c r="U57" s="142">
        <f>IF(U$6=$B55,$C55-U55,IF(U$6&gt;$B55,T57-U55,0))</f>
        <v>1778000.0999999987</v>
      </c>
      <c r="V57" s="142">
        <f>IF(V$6=$B55,$C55-V55,IF(V$6&gt;$B55,U57-V55,0))</f>
        <v>1185333.3999999985</v>
      </c>
      <c r="W57" s="142">
        <f>IF(W$6=$B55,$C55-W55,IF(W$6&gt;$B55,V57-W55,0))</f>
        <v>592666.6999999984</v>
      </c>
      <c r="X57" s="142">
        <f>IF(X$6=$B55,$C55-X55,IF(X$6&gt;$B55,W57-X55,0))</f>
        <v>-1.6298145055770874E-09</v>
      </c>
      <c r="Y57" s="142">
        <f>IF(Y$6=$B55,$C55-Y55,IF(Y$6&gt;$B55,X57-Y55,0))</f>
        <v>-1.6298145055770874E-09</v>
      </c>
      <c r="Z57" s="142">
        <f>IF(Z$6=$B55,$C55-Z55,IF(Z$6&gt;$B55,Y57-Z55,0))</f>
        <v>-1.6298145055770874E-09</v>
      </c>
      <c r="AA57" s="142">
        <f>IF(AA$6=$B55,$C55-AA55,IF(AA$6&gt;$B55,Z57-AA55,0))</f>
        <v>-1.6298145055770874E-09</v>
      </c>
      <c r="AB57" s="142">
        <f>IF(AB$6=$B55,$C55-AB55,IF(AB$6&gt;$B55,AA57-AB55,0))</f>
        <v>-1.6298145055770874E-09</v>
      </c>
      <c r="AC57" s="142">
        <f>IF(AC$6=$B55,$C55-AC55,IF(AC$6&gt;$B55,AB57-AC55,0))</f>
        <v>-1.6298145055770874E-09</v>
      </c>
      <c r="AD57" s="142">
        <f>IF(AD$6=$B55,$C55-AD55,IF(AD$6&gt;$B55,AC57-AD55,0))</f>
        <v>-1.6298145055770874E-09</v>
      </c>
      <c r="AE57" s="142">
        <f>IF(AE$6=$B55,$C55-AE55,IF(AE$6&gt;$B55,AD57-AE55,0))</f>
        <v>-1.6298145055770874E-09</v>
      </c>
      <c r="AF57" s="216">
        <f>IF(AF$6=$B55,$C55-AF55,IF(AF$6&gt;$B55,AE57-AF55,0))</f>
        <v>-1.6298145055770874E-09</v>
      </c>
      <c r="AG57" s="221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</row>
    <row r="58" spans="4:48" s="144" customFormat="1" ht="12.75">
      <c r="D58" s="144" t="s">
        <v>125</v>
      </c>
      <c r="E58" s="145"/>
      <c r="F58" s="146"/>
      <c r="G58" s="146">
        <f aca="true" t="shared" si="20" ref="G58:AB58">G59+G60</f>
        <v>5346612.825037388</v>
      </c>
      <c r="H58" s="146">
        <f t="shared" si="20"/>
        <v>12919422.075037388</v>
      </c>
      <c r="I58" s="146">
        <f t="shared" si="20"/>
        <v>7434144.075037389</v>
      </c>
      <c r="J58" s="146">
        <f t="shared" si="20"/>
        <v>15559600.318101823</v>
      </c>
      <c r="K58" s="146">
        <f t="shared" si="20"/>
        <v>8468203.326000001</v>
      </c>
      <c r="L58" s="146">
        <f t="shared" si="20"/>
        <v>8341572.80675</v>
      </c>
      <c r="M58" s="146">
        <f t="shared" si="20"/>
        <v>8479929.7674</v>
      </c>
      <c r="N58" s="146">
        <f t="shared" si="20"/>
        <v>8300129.885500001</v>
      </c>
      <c r="O58" s="146">
        <f t="shared" si="20"/>
        <v>7422868.061000001</v>
      </c>
      <c r="P58" s="146">
        <f t="shared" si="20"/>
        <v>7301444.9175</v>
      </c>
      <c r="Q58" s="146">
        <f t="shared" si="20"/>
        <v>7119596.095000001</v>
      </c>
      <c r="R58" s="146">
        <f t="shared" si="20"/>
        <v>6877436.501500001</v>
      </c>
      <c r="S58" s="146">
        <f t="shared" si="20"/>
        <v>5499853.7190000005</v>
      </c>
      <c r="T58" s="146">
        <f t="shared" si="20"/>
        <v>5307351.37</v>
      </c>
      <c r="U58" s="146">
        <f t="shared" si="20"/>
        <v>3472828.9200000004</v>
      </c>
      <c r="V58" s="146">
        <f t="shared" si="20"/>
        <v>4193322.705000001</v>
      </c>
      <c r="W58" s="146">
        <f t="shared" si="20"/>
        <v>1296641.56</v>
      </c>
      <c r="X58" s="146">
        <f t="shared" si="20"/>
        <v>622300.035</v>
      </c>
      <c r="Y58" s="146">
        <f t="shared" si="20"/>
        <v>0</v>
      </c>
      <c r="Z58" s="146">
        <f t="shared" si="20"/>
        <v>0</v>
      </c>
      <c r="AA58" s="146">
        <f t="shared" si="20"/>
        <v>0</v>
      </c>
      <c r="AB58" s="146">
        <f t="shared" si="20"/>
        <v>0</v>
      </c>
      <c r="AC58" s="146">
        <f>AC59+AC60</f>
        <v>0</v>
      </c>
      <c r="AD58" s="146">
        <f>AD59+AD60</f>
        <v>0</v>
      </c>
      <c r="AE58" s="146">
        <f>AE59+AE60</f>
        <v>0</v>
      </c>
      <c r="AF58" s="217">
        <f>AF59+AF60</f>
        <v>0</v>
      </c>
      <c r="AG58" s="222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</row>
    <row r="59" spans="4:48" s="147" customFormat="1" ht="12.75">
      <c r="D59" s="148"/>
      <c r="E59" s="149" t="s">
        <v>126</v>
      </c>
      <c r="F59" s="150"/>
      <c r="G59" s="150">
        <f aca="true" t="shared" si="21" ref="G59:AF59">G7+G10+G13+G16+G19+G22+G25+G28+G31+G34+G37+G40+G43+G46+G49+G52+G55</f>
        <v>4246976.895037388</v>
      </c>
      <c r="H59" s="150">
        <f t="shared" si="21"/>
        <v>11553950.265037388</v>
      </c>
      <c r="I59" s="150">
        <f t="shared" si="21"/>
        <v>6113286.585037389</v>
      </c>
      <c r="J59" s="150">
        <f t="shared" si="21"/>
        <v>14395323.118101824</v>
      </c>
      <c r="K59" s="150">
        <f t="shared" si="21"/>
        <v>6973850.390000001</v>
      </c>
      <c r="L59" s="150">
        <f t="shared" si="21"/>
        <v>6798291.73</v>
      </c>
      <c r="M59" s="150">
        <f t="shared" si="21"/>
        <v>6719236.46</v>
      </c>
      <c r="N59" s="150">
        <f t="shared" si="21"/>
        <v>6518358.82</v>
      </c>
      <c r="O59" s="150">
        <f t="shared" si="21"/>
        <v>5642515.800000001</v>
      </c>
      <c r="P59" s="150">
        <f t="shared" si="21"/>
        <v>5656200.29</v>
      </c>
      <c r="Q59" s="150">
        <f t="shared" si="21"/>
        <v>5670499.19</v>
      </c>
      <c r="R59" s="150">
        <f t="shared" si="21"/>
        <v>5685440.090000001</v>
      </c>
      <c r="S59" s="150">
        <f t="shared" si="21"/>
        <v>4568971.8</v>
      </c>
      <c r="T59" s="150">
        <f t="shared" si="21"/>
        <v>4585284.46</v>
      </c>
      <c r="U59" s="150">
        <f t="shared" si="21"/>
        <v>2978089.41</v>
      </c>
      <c r="V59" s="150">
        <f t="shared" si="21"/>
        <v>3599767.8900000006</v>
      </c>
      <c r="W59" s="150">
        <f t="shared" si="21"/>
        <v>1206674.5</v>
      </c>
      <c r="X59" s="150">
        <f t="shared" si="21"/>
        <v>592666.7000000001</v>
      </c>
      <c r="Y59" s="150">
        <f t="shared" si="21"/>
        <v>0</v>
      </c>
      <c r="Z59" s="150">
        <f t="shared" si="21"/>
        <v>0</v>
      </c>
      <c r="AA59" s="150">
        <f t="shared" si="21"/>
        <v>0</v>
      </c>
      <c r="AB59" s="150">
        <f t="shared" si="21"/>
        <v>0</v>
      </c>
      <c r="AC59" s="150">
        <f t="shared" si="21"/>
        <v>0</v>
      </c>
      <c r="AD59" s="150">
        <f t="shared" si="21"/>
        <v>0</v>
      </c>
      <c r="AE59" s="150">
        <f t="shared" si="21"/>
        <v>0</v>
      </c>
      <c r="AF59" s="218">
        <f t="shared" si="21"/>
        <v>0</v>
      </c>
      <c r="AG59" s="223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</row>
    <row r="60" spans="4:48" s="147" customFormat="1" ht="12.75">
      <c r="D60" s="148"/>
      <c r="E60" s="151" t="s">
        <v>127</v>
      </c>
      <c r="F60" s="150"/>
      <c r="G60" s="150">
        <f>G8+G11+G14+G17+G20+G23+G26+G29+G32+G35+G38+G41+G44+G47+G50+G53+G56</f>
        <v>1099635.93</v>
      </c>
      <c r="H60" s="150">
        <f aca="true" t="shared" si="22" ref="H60:AF60">H8+H11+H14+H17+H20+H23+H26+H29+H32+H35+H38+H41+H44+H47+H50+H53+H56</f>
        <v>1365471.81</v>
      </c>
      <c r="I60" s="150">
        <f t="shared" si="22"/>
        <v>1320857.49</v>
      </c>
      <c r="J60" s="150">
        <f t="shared" si="22"/>
        <v>1164277.2</v>
      </c>
      <c r="K60" s="150">
        <f t="shared" si="22"/>
        <v>1494352.936</v>
      </c>
      <c r="L60" s="150">
        <f t="shared" si="22"/>
        <v>1543281.0767500002</v>
      </c>
      <c r="M60" s="150">
        <f t="shared" si="22"/>
        <v>1760693.3074</v>
      </c>
      <c r="N60" s="150">
        <f t="shared" si="22"/>
        <v>1781771.0655000003</v>
      </c>
      <c r="O60" s="150">
        <f t="shared" si="22"/>
        <v>1780352.261</v>
      </c>
      <c r="P60" s="150">
        <f t="shared" si="22"/>
        <v>1645244.6275000004</v>
      </c>
      <c r="Q60" s="150">
        <f t="shared" si="22"/>
        <v>1449096.9050000003</v>
      </c>
      <c r="R60" s="150">
        <f t="shared" si="22"/>
        <v>1191996.4115000002</v>
      </c>
      <c r="S60" s="150">
        <f t="shared" si="22"/>
        <v>930881.9190000002</v>
      </c>
      <c r="T60" s="150">
        <f t="shared" si="22"/>
        <v>722066.9100000003</v>
      </c>
      <c r="U60" s="150">
        <f t="shared" si="22"/>
        <v>494739.5100000001</v>
      </c>
      <c r="V60" s="150">
        <f t="shared" si="22"/>
        <v>593554.8150000002</v>
      </c>
      <c r="W60" s="150">
        <f t="shared" si="22"/>
        <v>89967.05999999997</v>
      </c>
      <c r="X60" s="150">
        <f t="shared" si="22"/>
        <v>29633.334999999923</v>
      </c>
      <c r="Y60" s="150">
        <f t="shared" si="22"/>
        <v>0</v>
      </c>
      <c r="Z60" s="150">
        <f t="shared" si="22"/>
        <v>0</v>
      </c>
      <c r="AA60" s="150">
        <f t="shared" si="22"/>
        <v>0</v>
      </c>
      <c r="AB60" s="150">
        <f t="shared" si="22"/>
        <v>0</v>
      </c>
      <c r="AC60" s="150">
        <f t="shared" si="22"/>
        <v>0</v>
      </c>
      <c r="AD60" s="150">
        <f t="shared" si="22"/>
        <v>0</v>
      </c>
      <c r="AE60" s="150">
        <f t="shared" si="22"/>
        <v>0</v>
      </c>
      <c r="AF60" s="218">
        <f t="shared" si="22"/>
        <v>0</v>
      </c>
      <c r="AG60" s="223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</row>
    <row r="61" spans="4:48" s="144" customFormat="1" ht="12.75">
      <c r="D61" s="144" t="s">
        <v>128</v>
      </c>
      <c r="E61" s="145"/>
      <c r="F61" s="150">
        <f>F9+F12+F15+F18+F21+F24+F27+F30+F33+F36+F39+F42+F45+F48+F51+F54+F57</f>
        <v>46557307.57321399</v>
      </c>
      <c r="G61" s="150">
        <f aca="true" t="shared" si="23" ref="G61:AF61">G9+G12+G15+G18+G21+G24+G27+G30+G33+G36+G39+G42+G45+G48+G51+G54+G57</f>
        <v>45881137.678176604</v>
      </c>
      <c r="H61" s="150">
        <f t="shared" si="23"/>
        <v>45647987.41313921</v>
      </c>
      <c r="I61" s="150">
        <f t="shared" si="23"/>
        <v>39534700.82810182</v>
      </c>
      <c r="J61" s="150">
        <f t="shared" si="23"/>
        <v>41381778.71</v>
      </c>
      <c r="K61" s="150">
        <f t="shared" si="23"/>
        <v>41924124.32</v>
      </c>
      <c r="L61" s="150">
        <f t="shared" si="23"/>
        <v>41356960.589999996</v>
      </c>
      <c r="M61" s="150">
        <f t="shared" si="23"/>
        <v>40777802.13</v>
      </c>
      <c r="N61" s="150">
        <f t="shared" si="23"/>
        <v>40186110.31</v>
      </c>
      <c r="O61" s="150">
        <f t="shared" si="23"/>
        <v>34543594.51</v>
      </c>
      <c r="P61" s="150">
        <f t="shared" si="23"/>
        <v>28887394.220000006</v>
      </c>
      <c r="Q61" s="150">
        <f t="shared" si="23"/>
        <v>23216895.03</v>
      </c>
      <c r="R61" s="150">
        <f t="shared" si="23"/>
        <v>17531454.940000005</v>
      </c>
      <c r="S61" s="150">
        <f t="shared" si="23"/>
        <v>12962483.140000004</v>
      </c>
      <c r="T61" s="150">
        <f t="shared" si="23"/>
        <v>8377198.680000003</v>
      </c>
      <c r="U61" s="150">
        <f t="shared" si="23"/>
        <v>5399109.270000003</v>
      </c>
      <c r="V61" s="150">
        <f t="shared" si="23"/>
        <v>1799341.3800000027</v>
      </c>
      <c r="W61" s="150">
        <f t="shared" si="23"/>
        <v>592666.8800000024</v>
      </c>
      <c r="X61" s="150">
        <f t="shared" si="23"/>
        <v>0.18000000237907443</v>
      </c>
      <c r="Y61" s="150">
        <f t="shared" si="23"/>
        <v>0.18000000237907443</v>
      </c>
      <c r="Z61" s="150">
        <f t="shared" si="23"/>
        <v>0.18000000237907443</v>
      </c>
      <c r="AA61" s="150">
        <f t="shared" si="23"/>
        <v>0.18000000237907443</v>
      </c>
      <c r="AB61" s="150">
        <f t="shared" si="23"/>
        <v>0.18000000237907443</v>
      </c>
      <c r="AC61" s="150">
        <f t="shared" si="23"/>
        <v>0.18000000237907443</v>
      </c>
      <c r="AD61" s="150">
        <f t="shared" si="23"/>
        <v>0.18000000237907443</v>
      </c>
      <c r="AE61" s="150">
        <f t="shared" si="23"/>
        <v>0.18000000237907443</v>
      </c>
      <c r="AF61" s="218">
        <f t="shared" si="23"/>
        <v>0.18000000237907443</v>
      </c>
      <c r="AG61" s="222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</row>
    <row r="63" spans="1:48" s="144" customFormat="1" ht="12.75">
      <c r="A63" s="152" t="s">
        <v>129</v>
      </c>
      <c r="B63" s="152"/>
      <c r="D63" s="153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</row>
    <row r="65" ht="12.75">
      <c r="H65" s="154"/>
    </row>
    <row r="66" ht="12.75">
      <c r="D66" s="148"/>
    </row>
    <row r="70" spans="33:48" s="155" customFormat="1" ht="12.75"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</row>
  </sheetData>
  <sheetProtection selectLockedCells="1" selectUnlockedCells="1"/>
  <mergeCells count="69"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D43:D45"/>
    <mergeCell ref="A46:A48"/>
    <mergeCell ref="B46:B48"/>
    <mergeCell ref="C46:C48"/>
    <mergeCell ref="D46:D48"/>
    <mergeCell ref="A1:AF1"/>
    <mergeCell ref="A55:A57"/>
    <mergeCell ref="B55:B57"/>
    <mergeCell ref="C55:C57"/>
    <mergeCell ref="D55:D57"/>
    <mergeCell ref="A49:A51"/>
    <mergeCell ref="B49:B51"/>
    <mergeCell ref="C49:C51"/>
    <mergeCell ref="D49:D51"/>
    <mergeCell ref="A52:A54"/>
    <mergeCell ref="B52:B54"/>
    <mergeCell ref="C52:C54"/>
    <mergeCell ref="D52:D54"/>
    <mergeCell ref="A43:A45"/>
    <mergeCell ref="B43:B45"/>
    <mergeCell ref="C43:C45"/>
  </mergeCells>
  <printOptions/>
  <pageMargins left="0.7480314960629921" right="0" top="0.984251968503937" bottom="0.984251968503937" header="0.5118110236220472" footer="0.5118110236220472"/>
  <pageSetup horizontalDpi="300" verticalDpi="300" orientation="landscape" paperSize="11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Indrek_K</cp:lastModifiedBy>
  <cp:lastPrinted>2012-06-11T07:33:18Z</cp:lastPrinted>
  <dcterms:created xsi:type="dcterms:W3CDTF">2009-03-11T11:38:40Z</dcterms:created>
  <dcterms:modified xsi:type="dcterms:W3CDTF">2012-08-28T10:10:30Z</dcterms:modified>
  <cp:category/>
  <cp:version/>
  <cp:contentType/>
  <cp:contentStatus/>
</cp:coreProperties>
</file>